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 activeTab="26"/>
  </bookViews>
  <sheets>
    <sheet name="1" sheetId="4" r:id="rId1"/>
    <sheet name="2" sheetId="6" r:id="rId2"/>
    <sheet name="3" sheetId="7" r:id="rId3"/>
    <sheet name="4" sheetId="8" r:id="rId4"/>
    <sheet name="5" sheetId="9" r:id="rId5"/>
    <sheet name="6" sheetId="10" r:id="rId6"/>
    <sheet name="7" sheetId="11" r:id="rId7"/>
    <sheet name="8" sheetId="12" r:id="rId8"/>
    <sheet name="9" sheetId="13" r:id="rId9"/>
    <sheet name="10" sheetId="14" r:id="rId10"/>
    <sheet name="11" sheetId="15" r:id="rId11"/>
    <sheet name="12" sheetId="16" r:id="rId12"/>
    <sheet name="13" sheetId="17" r:id="rId13"/>
    <sheet name="14" sheetId="18" r:id="rId14"/>
    <sheet name="15" sheetId="19" r:id="rId15"/>
    <sheet name="16" sheetId="20" r:id="rId16"/>
    <sheet name="17" sheetId="21" r:id="rId17"/>
    <sheet name="18" sheetId="22" r:id="rId18"/>
    <sheet name="19" sheetId="23" r:id="rId19"/>
    <sheet name="20" sheetId="24" r:id="rId20"/>
    <sheet name="21" sheetId="25" r:id="rId21"/>
    <sheet name="22" sheetId="26" r:id="rId22"/>
    <sheet name="23" sheetId="27" r:id="rId23"/>
    <sheet name="24" sheetId="28" r:id="rId24"/>
    <sheet name="25" sheetId="29" r:id="rId25"/>
    <sheet name="26" sheetId="30" r:id="rId26"/>
    <sheet name="27" sheetId="31" r:id="rId27"/>
    <sheet name="sample" sheetId="5" r:id="rId28"/>
    <sheet name="Sheet1" sheetId="1" r:id="rId29"/>
    <sheet name="Sheet2" sheetId="2" r:id="rId30"/>
    <sheet name="Sheet3" sheetId="3" r:id="rId31"/>
  </sheets>
  <externalReferences>
    <externalReference r:id="rId32"/>
    <externalReference r:id="rId33"/>
  </externalReferences>
  <definedNames>
    <definedName name="IPP" localSheetId="0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27">#REF!</definedName>
    <definedName name="IPP">#REF!</definedName>
    <definedName name="ippp" localSheetId="0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27">#REF!</definedName>
    <definedName name="ippp">#REF!</definedName>
    <definedName name="sdasdf" localSheetId="0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27">#REF!</definedName>
    <definedName name="sdasdf">#REF!</definedName>
  </definedNames>
  <calcPr calcId="145621"/>
</workbook>
</file>

<file path=xl/calcChain.xml><?xml version="1.0" encoding="utf-8"?>
<calcChain xmlns="http://schemas.openxmlformats.org/spreadsheetml/2006/main">
  <c r="AF271" i="31" l="1"/>
  <c r="AE271" i="31"/>
  <c r="AD271" i="31"/>
  <c r="AC271" i="31"/>
  <c r="AB271" i="31"/>
  <c r="AA271" i="31"/>
  <c r="Z271" i="31"/>
  <c r="Y271" i="31"/>
  <c r="X271" i="31"/>
  <c r="W271" i="31"/>
  <c r="V271" i="31"/>
  <c r="U271" i="31"/>
  <c r="T271" i="31"/>
  <c r="S271" i="31"/>
  <c r="R271" i="31"/>
  <c r="Q271" i="31"/>
  <c r="P271" i="31"/>
  <c r="O271" i="31"/>
  <c r="N271" i="31"/>
  <c r="M271" i="31"/>
  <c r="L271" i="31"/>
  <c r="K271" i="31"/>
  <c r="J271" i="31"/>
  <c r="I271" i="31"/>
  <c r="H271" i="31"/>
  <c r="G271" i="31"/>
  <c r="F271" i="31"/>
  <c r="E271" i="31"/>
  <c r="D271" i="31"/>
  <c r="C271" i="31"/>
  <c r="B271" i="31"/>
  <c r="A271" i="31"/>
  <c r="AF270" i="31"/>
  <c r="AE270" i="31"/>
  <c r="AD270" i="31"/>
  <c r="AC270" i="31"/>
  <c r="AB270" i="31"/>
  <c r="AA270" i="31"/>
  <c r="Z270" i="31"/>
  <c r="Y270" i="31"/>
  <c r="X270" i="31"/>
  <c r="W270" i="31"/>
  <c r="V270" i="31"/>
  <c r="U270" i="31"/>
  <c r="T270" i="31"/>
  <c r="S270" i="31"/>
  <c r="R270" i="31"/>
  <c r="Q270" i="31"/>
  <c r="P270" i="31"/>
  <c r="O270" i="31"/>
  <c r="N270" i="31"/>
  <c r="M270" i="31"/>
  <c r="L270" i="31"/>
  <c r="K270" i="31"/>
  <c r="J270" i="31"/>
  <c r="I270" i="31"/>
  <c r="H270" i="31"/>
  <c r="G270" i="31"/>
  <c r="F270" i="31"/>
  <c r="E270" i="31"/>
  <c r="D270" i="31"/>
  <c r="C270" i="31"/>
  <c r="B270" i="31"/>
  <c r="A270" i="31"/>
  <c r="AF269" i="31"/>
  <c r="AE269" i="31"/>
  <c r="AD269" i="31"/>
  <c r="AC269" i="31"/>
  <c r="AB269" i="31"/>
  <c r="AA269" i="31"/>
  <c r="Z269" i="31"/>
  <c r="Y269" i="31"/>
  <c r="X269" i="31"/>
  <c r="W269" i="31"/>
  <c r="V269" i="31"/>
  <c r="U269" i="31"/>
  <c r="T269" i="31"/>
  <c r="S269" i="31"/>
  <c r="R269" i="31"/>
  <c r="Q269" i="31"/>
  <c r="P269" i="31"/>
  <c r="O269" i="31"/>
  <c r="N269" i="31"/>
  <c r="M269" i="31"/>
  <c r="L269" i="31"/>
  <c r="K269" i="31"/>
  <c r="J269" i="31"/>
  <c r="I269" i="31"/>
  <c r="H269" i="31"/>
  <c r="G269" i="31"/>
  <c r="F269" i="31"/>
  <c r="E269" i="31"/>
  <c r="D269" i="31"/>
  <c r="C269" i="31"/>
  <c r="B269" i="31"/>
  <c r="A269" i="31"/>
  <c r="AF268" i="31"/>
  <c r="AE268" i="31"/>
  <c r="AD268" i="31"/>
  <c r="AC268" i="31"/>
  <c r="AB268" i="31"/>
  <c r="AA268" i="31"/>
  <c r="Z268" i="31"/>
  <c r="Y268" i="31"/>
  <c r="X268" i="31"/>
  <c r="W268" i="31"/>
  <c r="V268" i="31"/>
  <c r="U268" i="31"/>
  <c r="T268" i="31"/>
  <c r="S268" i="31"/>
  <c r="R268" i="31"/>
  <c r="Q268" i="31"/>
  <c r="P268" i="31"/>
  <c r="O268" i="31"/>
  <c r="N268" i="31"/>
  <c r="M268" i="31"/>
  <c r="L268" i="31"/>
  <c r="K268" i="31"/>
  <c r="J268" i="31"/>
  <c r="I268" i="31"/>
  <c r="H268" i="31"/>
  <c r="G268" i="31"/>
  <c r="F268" i="31"/>
  <c r="E268" i="31"/>
  <c r="D268" i="31"/>
  <c r="C268" i="31"/>
  <c r="B268" i="31"/>
  <c r="A268" i="31"/>
  <c r="AE267" i="31"/>
  <c r="AD267" i="31"/>
  <c r="AC267" i="31"/>
  <c r="AB267" i="31"/>
  <c r="AA267" i="31"/>
  <c r="Z267" i="31"/>
  <c r="Y267" i="31"/>
  <c r="X267" i="31"/>
  <c r="W267" i="31"/>
  <c r="V267" i="31"/>
  <c r="U267" i="31"/>
  <c r="T267" i="31"/>
  <c r="S267" i="31"/>
  <c r="R267" i="31"/>
  <c r="Q267" i="31"/>
  <c r="P267" i="31"/>
  <c r="D267" i="31"/>
  <c r="C267" i="31"/>
  <c r="B267" i="31"/>
  <c r="S242" i="31"/>
  <c r="AG232" i="31"/>
  <c r="AG65" i="31" s="1"/>
  <c r="AG66" i="31" s="1"/>
  <c r="AG3" i="31" s="1"/>
  <c r="AF232" i="31"/>
  <c r="AE232" i="31"/>
  <c r="AD232" i="31"/>
  <c r="AC232" i="31"/>
  <c r="AB232" i="31"/>
  <c r="AA232" i="31"/>
  <c r="Z232" i="31"/>
  <c r="Y232" i="31"/>
  <c r="X232" i="31"/>
  <c r="W232" i="31"/>
  <c r="V232" i="31"/>
  <c r="U232" i="31"/>
  <c r="T232" i="31"/>
  <c r="S232" i="31"/>
  <c r="R232" i="31"/>
  <c r="Q232" i="31"/>
  <c r="C232" i="31"/>
  <c r="E231" i="31"/>
  <c r="F231" i="31" s="1"/>
  <c r="D231" i="31"/>
  <c r="B231" i="31"/>
  <c r="AF267" i="31" s="1"/>
  <c r="F230" i="31"/>
  <c r="G230" i="31" s="1"/>
  <c r="H230" i="31" s="1"/>
  <c r="I230" i="31" s="1"/>
  <c r="J230" i="31" s="1"/>
  <c r="K230" i="31" s="1"/>
  <c r="L230" i="31" s="1"/>
  <c r="M230" i="31" s="1"/>
  <c r="N230" i="31" s="1"/>
  <c r="O230" i="31" s="1"/>
  <c r="P230" i="31" s="1"/>
  <c r="E230" i="31"/>
  <c r="D230" i="31"/>
  <c r="B230" i="31"/>
  <c r="D229" i="31"/>
  <c r="E229" i="31" s="1"/>
  <c r="F229" i="31" s="1"/>
  <c r="G229" i="31" s="1"/>
  <c r="H229" i="31" s="1"/>
  <c r="I229" i="31" s="1"/>
  <c r="B229" i="31"/>
  <c r="E228" i="31"/>
  <c r="F228" i="31" s="1"/>
  <c r="G228" i="31" s="1"/>
  <c r="H228" i="31" s="1"/>
  <c r="D228" i="31"/>
  <c r="B228" i="31"/>
  <c r="E227" i="31"/>
  <c r="F227" i="31" s="1"/>
  <c r="G227" i="31" s="1"/>
  <c r="H227" i="31" s="1"/>
  <c r="I227" i="31" s="1"/>
  <c r="J227" i="31" s="1"/>
  <c r="K227" i="31" s="1"/>
  <c r="L227" i="31" s="1"/>
  <c r="M227" i="31" s="1"/>
  <c r="N227" i="31" s="1"/>
  <c r="O227" i="31" s="1"/>
  <c r="P227" i="31" s="1"/>
  <c r="D227" i="31"/>
  <c r="B227" i="31"/>
  <c r="F226" i="31"/>
  <c r="G226" i="31" s="1"/>
  <c r="E226" i="31"/>
  <c r="E108" i="31" s="1"/>
  <c r="D226" i="31"/>
  <c r="D232" i="31" s="1"/>
  <c r="B226" i="31"/>
  <c r="B108" i="31" s="1"/>
  <c r="AG224" i="31"/>
  <c r="AF224" i="31"/>
  <c r="AE224" i="31"/>
  <c r="AD224" i="31"/>
  <c r="AC224" i="31"/>
  <c r="AB224" i="31"/>
  <c r="AA224" i="31"/>
  <c r="Z224" i="31"/>
  <c r="Y224" i="31"/>
  <c r="X224" i="31"/>
  <c r="W224" i="31"/>
  <c r="V224" i="31"/>
  <c r="U224" i="31"/>
  <c r="T224" i="31"/>
  <c r="S224" i="31"/>
  <c r="R224" i="31"/>
  <c r="Q224" i="31"/>
  <c r="P224" i="31"/>
  <c r="O224" i="31"/>
  <c r="N224" i="31"/>
  <c r="M224" i="31"/>
  <c r="L224" i="31"/>
  <c r="K224" i="31"/>
  <c r="J224" i="31"/>
  <c r="I224" i="31"/>
  <c r="H224" i="31"/>
  <c r="G224" i="31"/>
  <c r="F224" i="31"/>
  <c r="E224" i="31"/>
  <c r="D224" i="31"/>
  <c r="C224" i="31"/>
  <c r="B224" i="31"/>
  <c r="AI117" i="31"/>
  <c r="AH117" i="31"/>
  <c r="AI116" i="31"/>
  <c r="AH116" i="31"/>
  <c r="AI115" i="31"/>
  <c r="AH115" i="31"/>
  <c r="AI114" i="31"/>
  <c r="AH114" i="31"/>
  <c r="AI113" i="31"/>
  <c r="AH113" i="31"/>
  <c r="AI112" i="31"/>
  <c r="AH112" i="31"/>
  <c r="AI111" i="31"/>
  <c r="AH111" i="31"/>
  <c r="AI110" i="31"/>
  <c r="AH110" i="31"/>
  <c r="AI109" i="31"/>
  <c r="AH109" i="31"/>
  <c r="AF108" i="31"/>
  <c r="AE108" i="31"/>
  <c r="AD108" i="31"/>
  <c r="AC108" i="31"/>
  <c r="AB108" i="31"/>
  <c r="AA108" i="31"/>
  <c r="Z108" i="31"/>
  <c r="Y108" i="31"/>
  <c r="X108" i="31"/>
  <c r="W108" i="31"/>
  <c r="V108" i="31"/>
  <c r="U108" i="31"/>
  <c r="T108" i="31"/>
  <c r="S108" i="31"/>
  <c r="R108" i="31"/>
  <c r="Q108" i="31"/>
  <c r="D108" i="31"/>
  <c r="C108" i="31"/>
  <c r="AI107" i="31"/>
  <c r="AH107" i="31"/>
  <c r="AI106" i="31"/>
  <c r="AH106" i="31"/>
  <c r="AI105" i="31"/>
  <c r="AH105" i="31"/>
  <c r="AI104" i="31"/>
  <c r="AH104" i="31"/>
  <c r="AI103" i="31"/>
  <c r="AH103" i="31"/>
  <c r="AI102" i="31"/>
  <c r="AH102" i="31"/>
  <c r="AI101" i="31"/>
  <c r="AH101" i="31"/>
  <c r="AI100" i="31"/>
  <c r="AH100" i="31"/>
  <c r="AI99" i="31"/>
  <c r="AH99" i="31"/>
  <c r="AE98" i="31"/>
  <c r="AC98" i="31"/>
  <c r="Z98" i="31"/>
  <c r="Y98" i="31"/>
  <c r="W98" i="31"/>
  <c r="R98" i="31"/>
  <c r="Q98" i="31"/>
  <c r="O98" i="31"/>
  <c r="J98" i="31"/>
  <c r="I98" i="31"/>
  <c r="G98" i="31"/>
  <c r="AI97" i="31"/>
  <c r="AH97" i="31"/>
  <c r="AI96" i="31"/>
  <c r="AH96" i="31"/>
  <c r="AI95" i="31"/>
  <c r="AH95" i="31"/>
  <c r="AI94" i="31"/>
  <c r="AH94" i="31"/>
  <c r="AI93" i="31"/>
  <c r="AH93" i="31"/>
  <c r="AI92" i="31"/>
  <c r="AH92" i="31"/>
  <c r="AI91" i="31"/>
  <c r="AH91" i="31"/>
  <c r="AI88" i="31"/>
  <c r="AH88" i="31"/>
  <c r="AE87" i="31"/>
  <c r="AE89" i="31" s="1"/>
  <c r="W87" i="31"/>
  <c r="W89" i="31" s="1"/>
  <c r="O87" i="31"/>
  <c r="O89" i="31" s="1"/>
  <c r="G87" i="31"/>
  <c r="G89" i="31" s="1"/>
  <c r="F87" i="31"/>
  <c r="F89" i="31" s="1"/>
  <c r="AI86" i="31"/>
  <c r="AH86" i="31"/>
  <c r="AG86" i="31"/>
  <c r="AG89" i="31" s="1"/>
  <c r="AI85" i="31"/>
  <c r="AH85" i="31"/>
  <c r="AI84" i="31"/>
  <c r="AH84" i="31"/>
  <c r="AI83" i="31"/>
  <c r="AH83" i="31"/>
  <c r="AN82" i="31"/>
  <c r="AG82" i="31"/>
  <c r="AF82" i="31"/>
  <c r="AE5" i="31" s="1"/>
  <c r="AE82" i="31"/>
  <c r="AD82" i="31"/>
  <c r="AD98" i="31" s="1"/>
  <c r="AC82" i="31"/>
  <c r="AB82" i="31"/>
  <c r="AB98" i="31" s="1"/>
  <c r="AA82" i="31"/>
  <c r="AA98" i="31" s="1"/>
  <c r="Z82" i="31"/>
  <c r="Y5" i="31" s="1"/>
  <c r="Y82" i="31"/>
  <c r="X5" i="31" s="1"/>
  <c r="X82" i="31"/>
  <c r="W5" i="31" s="1"/>
  <c r="W82" i="31"/>
  <c r="V82" i="31"/>
  <c r="V98" i="31" s="1"/>
  <c r="U82" i="31"/>
  <c r="U98" i="31" s="1"/>
  <c r="T82" i="31"/>
  <c r="T98" i="31" s="1"/>
  <c r="S82" i="31"/>
  <c r="S98" i="31" s="1"/>
  <c r="R82" i="31"/>
  <c r="Q5" i="31" s="1"/>
  <c r="Q82" i="31"/>
  <c r="P5" i="31" s="1"/>
  <c r="P82" i="31"/>
  <c r="O5" i="31" s="1"/>
  <c r="O82" i="31"/>
  <c r="N82" i="31"/>
  <c r="N98" i="31" s="1"/>
  <c r="M82" i="31"/>
  <c r="M98" i="31" s="1"/>
  <c r="L82" i="31"/>
  <c r="L98" i="31" s="1"/>
  <c r="K82" i="31"/>
  <c r="K98" i="31" s="1"/>
  <c r="J82" i="31"/>
  <c r="I5" i="31" s="1"/>
  <c r="I82" i="31"/>
  <c r="H5" i="31" s="1"/>
  <c r="H82" i="31"/>
  <c r="G5" i="31" s="1"/>
  <c r="G82" i="31"/>
  <c r="F82" i="31"/>
  <c r="F98" i="31" s="1"/>
  <c r="E82" i="31"/>
  <c r="E98" i="31" s="1"/>
  <c r="D82" i="31"/>
  <c r="D98" i="31" s="1"/>
  <c r="C82" i="31"/>
  <c r="C98" i="31" s="1"/>
  <c r="B82" i="31"/>
  <c r="AF5" i="31" s="1"/>
  <c r="AI81" i="31"/>
  <c r="AH81" i="31"/>
  <c r="AN80" i="31"/>
  <c r="AI80" i="31"/>
  <c r="AH80" i="31"/>
  <c r="AN79" i="31"/>
  <c r="AN81" i="31" s="1"/>
  <c r="AI79" i="31"/>
  <c r="AH79" i="31"/>
  <c r="AI78" i="31"/>
  <c r="AH78" i="31"/>
  <c r="AI77" i="31"/>
  <c r="AH77" i="31"/>
  <c r="AI76" i="31"/>
  <c r="AH76" i="31"/>
  <c r="AI75" i="31"/>
  <c r="AH75" i="31"/>
  <c r="AI74" i="31"/>
  <c r="AH74" i="31"/>
  <c r="AI73" i="31"/>
  <c r="AH73" i="31"/>
  <c r="AI72" i="31"/>
  <c r="AH72" i="31"/>
  <c r="AI71" i="31"/>
  <c r="AH71" i="31"/>
  <c r="AG70" i="31"/>
  <c r="AF70" i="31"/>
  <c r="AE70" i="31"/>
  <c r="AD70" i="31"/>
  <c r="AD87" i="31" s="1"/>
  <c r="AD89" i="31" s="1"/>
  <c r="AC70" i="31"/>
  <c r="AC87" i="31" s="1"/>
  <c r="AC89" i="31" s="1"/>
  <c r="AB70" i="31"/>
  <c r="AA70" i="31"/>
  <c r="Z70" i="31"/>
  <c r="Y70" i="31"/>
  <c r="X70" i="31"/>
  <c r="W70" i="31"/>
  <c r="V70" i="31"/>
  <c r="V87" i="31" s="1"/>
  <c r="V89" i="31" s="1"/>
  <c r="U70" i="31"/>
  <c r="U87" i="31" s="1"/>
  <c r="U89" i="31" s="1"/>
  <c r="T70" i="31"/>
  <c r="S70" i="31"/>
  <c r="R70" i="31"/>
  <c r="Q70" i="31"/>
  <c r="P70" i="31"/>
  <c r="O70" i="31"/>
  <c r="N70" i="31"/>
  <c r="N87" i="31" s="1"/>
  <c r="N89" i="31" s="1"/>
  <c r="M70" i="31"/>
  <c r="M87" i="31" s="1"/>
  <c r="M89" i="31" s="1"/>
  <c r="L70" i="31"/>
  <c r="B70" i="31"/>
  <c r="AI70" i="31" s="1"/>
  <c r="AI69" i="31"/>
  <c r="AH69" i="31"/>
  <c r="AI68" i="31"/>
  <c r="AH68" i="31"/>
  <c r="AI67" i="31"/>
  <c r="AH67" i="31"/>
  <c r="AF66" i="31"/>
  <c r="AE66" i="31"/>
  <c r="AD66" i="31"/>
  <c r="AC66" i="31"/>
  <c r="AB66" i="31"/>
  <c r="AB87" i="31" s="1"/>
  <c r="AB89" i="31" s="1"/>
  <c r="AA66" i="31"/>
  <c r="Z66" i="31"/>
  <c r="Y66" i="31"/>
  <c r="X66" i="31"/>
  <c r="W66" i="31"/>
  <c r="V66" i="31"/>
  <c r="U66" i="31"/>
  <c r="T66" i="31"/>
  <c r="T87" i="31" s="1"/>
  <c r="T89" i="31" s="1"/>
  <c r="S66" i="31"/>
  <c r="R66" i="31"/>
  <c r="Q66" i="31"/>
  <c r="P66" i="31"/>
  <c r="O66" i="31"/>
  <c r="N66" i="31"/>
  <c r="M66" i="31"/>
  <c r="L66" i="31"/>
  <c r="L87" i="31" s="1"/>
  <c r="L89" i="31" s="1"/>
  <c r="K66" i="31"/>
  <c r="J66" i="31"/>
  <c r="I66" i="31"/>
  <c r="H66" i="31"/>
  <c r="G66" i="31"/>
  <c r="F66" i="31"/>
  <c r="E66" i="31"/>
  <c r="D66" i="31"/>
  <c r="C66" i="31"/>
  <c r="B66" i="31"/>
  <c r="AI65" i="31"/>
  <c r="AH65" i="31"/>
  <c r="AI64" i="31"/>
  <c r="AH64" i="31"/>
  <c r="AI63" i="31"/>
  <c r="AH63" i="31"/>
  <c r="AI62" i="31"/>
  <c r="AH62" i="31"/>
  <c r="AI61" i="31"/>
  <c r="AH61" i="31"/>
  <c r="AI60" i="31"/>
  <c r="AH60" i="31"/>
  <c r="AI59" i="31"/>
  <c r="AH59" i="31"/>
  <c r="AI58" i="31"/>
  <c r="AH58" i="31"/>
  <c r="AI57" i="31"/>
  <c r="AH57" i="31"/>
  <c r="AI56" i="31"/>
  <c r="AH56" i="31"/>
  <c r="AI55" i="31"/>
  <c r="AH55" i="31"/>
  <c r="AI54" i="31"/>
  <c r="AH54" i="31"/>
  <c r="AI53" i="31"/>
  <c r="AH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AI51" i="31"/>
  <c r="AH51" i="31"/>
  <c r="AI50" i="31"/>
  <c r="AH50" i="31"/>
  <c r="AI49" i="31"/>
  <c r="AH49" i="31"/>
  <c r="AG48" i="31"/>
  <c r="AG87" i="31" s="1"/>
  <c r="AF48" i="31"/>
  <c r="AF87" i="31" s="1"/>
  <c r="AF89" i="31" s="1"/>
  <c r="AE48" i="31"/>
  <c r="AD48" i="31"/>
  <c r="AC48" i="31"/>
  <c r="AB48" i="31"/>
  <c r="AA48" i="31"/>
  <c r="AA87" i="31" s="1"/>
  <c r="AA89" i="31" s="1"/>
  <c r="Z48" i="31"/>
  <c r="Z87" i="31" s="1"/>
  <c r="Z89" i="31" s="1"/>
  <c r="Y48" i="31"/>
  <c r="Y87" i="31" s="1"/>
  <c r="Y89" i="31" s="1"/>
  <c r="X48" i="31"/>
  <c r="X87" i="31" s="1"/>
  <c r="X89" i="31" s="1"/>
  <c r="W48" i="31"/>
  <c r="V48" i="31"/>
  <c r="U48" i="31"/>
  <c r="T48" i="31"/>
  <c r="S48" i="31"/>
  <c r="S87" i="31" s="1"/>
  <c r="S89" i="31" s="1"/>
  <c r="R48" i="31"/>
  <c r="R87" i="31" s="1"/>
  <c r="R89" i="31" s="1"/>
  <c r="Q48" i="31"/>
  <c r="Q87" i="31" s="1"/>
  <c r="Q89" i="31" s="1"/>
  <c r="P48" i="31"/>
  <c r="P87" i="31" s="1"/>
  <c r="P89" i="31" s="1"/>
  <c r="O48" i="31"/>
  <c r="N48" i="31"/>
  <c r="M48" i="31"/>
  <c r="L48" i="31"/>
  <c r="K48" i="31"/>
  <c r="K87" i="31" s="1"/>
  <c r="K89" i="31" s="1"/>
  <c r="J48" i="31"/>
  <c r="J87" i="31" s="1"/>
  <c r="J89" i="31" s="1"/>
  <c r="I48" i="31"/>
  <c r="I87" i="31" s="1"/>
  <c r="I89" i="31" s="1"/>
  <c r="H48" i="31"/>
  <c r="H87" i="31" s="1"/>
  <c r="H89" i="31" s="1"/>
  <c r="G48" i="31"/>
  <c r="F48" i="31"/>
  <c r="E48" i="31"/>
  <c r="D48" i="31"/>
  <c r="C48" i="31"/>
  <c r="B48" i="31"/>
  <c r="AI47" i="31"/>
  <c r="AH47" i="31"/>
  <c r="AI46" i="31"/>
  <c r="AH46" i="31"/>
  <c r="AI45" i="31"/>
  <c r="AH45" i="31"/>
  <c r="AI44" i="31"/>
  <c r="AH44" i="31"/>
  <c r="AI43" i="31"/>
  <c r="AH43" i="31"/>
  <c r="AI42" i="31"/>
  <c r="AH42" i="31"/>
  <c r="AI41" i="31"/>
  <c r="AH41" i="31"/>
  <c r="AI40" i="31"/>
  <c r="AH40" i="31"/>
  <c r="AI39" i="31"/>
  <c r="AH39" i="31"/>
  <c r="AI38" i="31"/>
  <c r="AH38" i="31"/>
  <c r="AI37" i="31"/>
  <c r="AH37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AD5" i="31"/>
  <c r="AC5" i="31"/>
  <c r="AB5" i="31"/>
  <c r="AA5" i="31"/>
  <c r="V5" i="31"/>
  <c r="U5" i="31"/>
  <c r="T5" i="31"/>
  <c r="S5" i="31"/>
  <c r="N5" i="31"/>
  <c r="M5" i="31"/>
  <c r="L5" i="31"/>
  <c r="K5" i="31"/>
  <c r="F5" i="31"/>
  <c r="E5" i="31"/>
  <c r="D5" i="31"/>
  <c r="C5" i="31"/>
  <c r="AG4" i="31"/>
  <c r="K4" i="31"/>
  <c r="E4" i="31"/>
  <c r="H4" i="31" s="1"/>
  <c r="B4" i="31"/>
  <c r="S243" i="31" s="1"/>
  <c r="AB111" i="30"/>
  <c r="R111" i="30"/>
  <c r="N82" i="30"/>
  <c r="AF271" i="30"/>
  <c r="AE271" i="30"/>
  <c r="AD271" i="30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J271" i="30"/>
  <c r="I271" i="30"/>
  <c r="H271" i="30"/>
  <c r="G271" i="30"/>
  <c r="F271" i="30"/>
  <c r="E271" i="30"/>
  <c r="D271" i="30"/>
  <c r="C271" i="30"/>
  <c r="B271" i="30"/>
  <c r="A271" i="30"/>
  <c r="AF270" i="30"/>
  <c r="AE270" i="30"/>
  <c r="AD270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J270" i="30"/>
  <c r="I270" i="30"/>
  <c r="H270" i="30"/>
  <c r="G270" i="30"/>
  <c r="F270" i="30"/>
  <c r="E270" i="30"/>
  <c r="D270" i="30"/>
  <c r="C270" i="30"/>
  <c r="B270" i="30"/>
  <c r="A270" i="30"/>
  <c r="AF269" i="30"/>
  <c r="AE269" i="30"/>
  <c r="AD269" i="30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J269" i="30"/>
  <c r="I269" i="30"/>
  <c r="H269" i="30"/>
  <c r="G269" i="30"/>
  <c r="F269" i="30"/>
  <c r="E269" i="30"/>
  <c r="D269" i="30"/>
  <c r="C269" i="30"/>
  <c r="B269" i="30"/>
  <c r="A269" i="30"/>
  <c r="AF268" i="30"/>
  <c r="AE268" i="30"/>
  <c r="AD268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J268" i="30"/>
  <c r="I268" i="30"/>
  <c r="H268" i="30"/>
  <c r="G268" i="30"/>
  <c r="F268" i="30"/>
  <c r="E268" i="30"/>
  <c r="D268" i="30"/>
  <c r="C268" i="30"/>
  <c r="B268" i="30"/>
  <c r="A268" i="30"/>
  <c r="AE267" i="30"/>
  <c r="AD267" i="30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B267" i="30"/>
  <c r="S242" i="30"/>
  <c r="AG232" i="30"/>
  <c r="AF232" i="30"/>
  <c r="AE232" i="30"/>
  <c r="AD232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C232" i="30"/>
  <c r="D231" i="30"/>
  <c r="E231" i="30" s="1"/>
  <c r="B231" i="30"/>
  <c r="AF267" i="30" s="1"/>
  <c r="D230" i="30"/>
  <c r="E230" i="30" s="1"/>
  <c r="F230" i="30" s="1"/>
  <c r="G230" i="30" s="1"/>
  <c r="H230" i="30" s="1"/>
  <c r="I230" i="30" s="1"/>
  <c r="J230" i="30" s="1"/>
  <c r="K230" i="30" s="1"/>
  <c r="L230" i="30" s="1"/>
  <c r="M230" i="30" s="1"/>
  <c r="N230" i="30" s="1"/>
  <c r="O230" i="30" s="1"/>
  <c r="P230" i="30" s="1"/>
  <c r="B230" i="30"/>
  <c r="D229" i="30"/>
  <c r="E229" i="30" s="1"/>
  <c r="F229" i="30" s="1"/>
  <c r="G229" i="30" s="1"/>
  <c r="H229" i="30" s="1"/>
  <c r="I229" i="30" s="1"/>
  <c r="B229" i="30"/>
  <c r="E228" i="30"/>
  <c r="F228" i="30" s="1"/>
  <c r="G228" i="30" s="1"/>
  <c r="H228" i="30" s="1"/>
  <c r="D228" i="30"/>
  <c r="B228" i="30"/>
  <c r="D227" i="30"/>
  <c r="D232" i="30" s="1"/>
  <c r="B227" i="30"/>
  <c r="E226" i="30"/>
  <c r="F226" i="30" s="1"/>
  <c r="D226" i="30"/>
  <c r="B226" i="30"/>
  <c r="B108" i="30" s="1"/>
  <c r="AG224" i="30"/>
  <c r="AF224" i="30"/>
  <c r="AE224" i="30"/>
  <c r="AD224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J224" i="30"/>
  <c r="I224" i="30"/>
  <c r="H224" i="30"/>
  <c r="G224" i="30"/>
  <c r="F224" i="30"/>
  <c r="E224" i="30"/>
  <c r="D224" i="30"/>
  <c r="C224" i="30"/>
  <c r="B224" i="30"/>
  <c r="AI117" i="30"/>
  <c r="AH117" i="30"/>
  <c r="AI116" i="30"/>
  <c r="AH116" i="30"/>
  <c r="AI115" i="30"/>
  <c r="AH115" i="30"/>
  <c r="AI114" i="30"/>
  <c r="AH114" i="30"/>
  <c r="AI113" i="30"/>
  <c r="AH113" i="30"/>
  <c r="AI112" i="30"/>
  <c r="AH112" i="30"/>
  <c r="AI111" i="30"/>
  <c r="AH111" i="30"/>
  <c r="AI110" i="30"/>
  <c r="AH110" i="30"/>
  <c r="AI109" i="30"/>
  <c r="AH109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C108" i="30"/>
  <c r="AI107" i="30"/>
  <c r="AH107" i="30"/>
  <c r="AI106" i="30"/>
  <c r="AH106" i="30"/>
  <c r="AI105" i="30"/>
  <c r="AH105" i="30"/>
  <c r="AI104" i="30"/>
  <c r="AH104" i="30"/>
  <c r="AI103" i="30"/>
  <c r="AH103" i="30"/>
  <c r="AI102" i="30"/>
  <c r="AH102" i="30"/>
  <c r="AI101" i="30"/>
  <c r="AH101" i="30"/>
  <c r="AI100" i="30"/>
  <c r="AH100" i="30"/>
  <c r="AI99" i="30"/>
  <c r="AH99" i="30"/>
  <c r="AI97" i="30"/>
  <c r="AH97" i="30"/>
  <c r="AI96" i="30"/>
  <c r="AH96" i="30"/>
  <c r="AI95" i="30"/>
  <c r="AH95" i="30"/>
  <c r="AI94" i="30"/>
  <c r="AH94" i="30"/>
  <c r="AI93" i="30"/>
  <c r="AH93" i="30"/>
  <c r="AI92" i="30"/>
  <c r="AH92" i="30"/>
  <c r="AI91" i="30"/>
  <c r="AH91" i="30"/>
  <c r="AI88" i="30"/>
  <c r="AH88" i="30"/>
  <c r="AI86" i="30"/>
  <c r="AH86" i="30"/>
  <c r="AG86" i="30"/>
  <c r="AI85" i="30"/>
  <c r="AH85" i="30"/>
  <c r="AI84" i="30"/>
  <c r="AH84" i="30"/>
  <c r="AI83" i="30"/>
  <c r="AH83" i="30"/>
  <c r="AN82" i="30"/>
  <c r="AG82" i="30"/>
  <c r="AF82" i="30"/>
  <c r="AE5" i="30" s="1"/>
  <c r="AE82" i="30"/>
  <c r="AE98" i="30" s="1"/>
  <c r="AD82" i="30"/>
  <c r="AD98" i="30" s="1"/>
  <c r="AC82" i="30"/>
  <c r="AC98" i="30" s="1"/>
  <c r="AB82" i="30"/>
  <c r="AB98" i="30" s="1"/>
  <c r="AA82" i="30"/>
  <c r="AA98" i="30" s="1"/>
  <c r="Z82" i="30"/>
  <c r="Z98" i="30" s="1"/>
  <c r="Y82" i="30"/>
  <c r="Y98" i="30" s="1"/>
  <c r="X82" i="30"/>
  <c r="W5" i="30" s="1"/>
  <c r="W82" i="30"/>
  <c r="W98" i="30" s="1"/>
  <c r="V82" i="30"/>
  <c r="V98" i="30" s="1"/>
  <c r="U82" i="30"/>
  <c r="U98" i="30" s="1"/>
  <c r="T82" i="30"/>
  <c r="T98" i="30" s="1"/>
  <c r="S82" i="30"/>
  <c r="S98" i="30" s="1"/>
  <c r="R82" i="30"/>
  <c r="R98" i="30" s="1"/>
  <c r="Q82" i="30"/>
  <c r="Q98" i="30" s="1"/>
  <c r="P82" i="30"/>
  <c r="O5" i="30" s="1"/>
  <c r="O82" i="30"/>
  <c r="O98" i="30" s="1"/>
  <c r="N98" i="30"/>
  <c r="M82" i="30"/>
  <c r="M98" i="30" s="1"/>
  <c r="L82" i="30"/>
  <c r="L98" i="30" s="1"/>
  <c r="K82" i="30"/>
  <c r="K98" i="30" s="1"/>
  <c r="J82" i="30"/>
  <c r="J98" i="30" s="1"/>
  <c r="I82" i="30"/>
  <c r="I98" i="30" s="1"/>
  <c r="H82" i="30"/>
  <c r="G5" i="30" s="1"/>
  <c r="G82" i="30"/>
  <c r="G98" i="30" s="1"/>
  <c r="F82" i="30"/>
  <c r="F98" i="30" s="1"/>
  <c r="E82" i="30"/>
  <c r="E98" i="30" s="1"/>
  <c r="D82" i="30"/>
  <c r="D98" i="30" s="1"/>
  <c r="C82" i="30"/>
  <c r="C98" i="30" s="1"/>
  <c r="B82" i="30"/>
  <c r="B98" i="30" s="1"/>
  <c r="AI81" i="30"/>
  <c r="AH81" i="30"/>
  <c r="AN80" i="30"/>
  <c r="AI80" i="30"/>
  <c r="AH80" i="30"/>
  <c r="AN79" i="30"/>
  <c r="AN81" i="30" s="1"/>
  <c r="AI79" i="30"/>
  <c r="AH79" i="30"/>
  <c r="AI78" i="30"/>
  <c r="AH78" i="30"/>
  <c r="AI77" i="30"/>
  <c r="AH77" i="30"/>
  <c r="AI76" i="30"/>
  <c r="AH76" i="30"/>
  <c r="AI75" i="30"/>
  <c r="AH75" i="30"/>
  <c r="AI74" i="30"/>
  <c r="AH74" i="30"/>
  <c r="AI73" i="30"/>
  <c r="AH73" i="30"/>
  <c r="AI72" i="30"/>
  <c r="AH72" i="30"/>
  <c r="AI71" i="30"/>
  <c r="AH71" i="30"/>
  <c r="AG70" i="30"/>
  <c r="AF70" i="30"/>
  <c r="AE70" i="30"/>
  <c r="AD70" i="30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B70" i="30"/>
  <c r="AI69" i="30"/>
  <c r="AH69" i="30"/>
  <c r="AI68" i="30"/>
  <c r="AH68" i="30"/>
  <c r="AI67" i="30"/>
  <c r="AH67" i="30"/>
  <c r="AF66" i="30"/>
  <c r="AE66" i="30"/>
  <c r="AD66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AI65" i="30"/>
  <c r="AH65" i="30"/>
  <c r="AG65" i="30"/>
  <c r="AG66" i="30" s="1"/>
  <c r="AG3" i="30" s="1"/>
  <c r="AG6" i="30" s="1"/>
  <c r="AI64" i="30"/>
  <c r="AH64" i="30"/>
  <c r="AI63" i="30"/>
  <c r="AH63" i="30"/>
  <c r="AI62" i="30"/>
  <c r="AH62" i="30"/>
  <c r="AI61" i="30"/>
  <c r="AH61" i="30"/>
  <c r="AI60" i="30"/>
  <c r="AH60" i="30"/>
  <c r="AI59" i="30"/>
  <c r="AH59" i="30"/>
  <c r="AI58" i="30"/>
  <c r="AH58" i="30"/>
  <c r="AI57" i="30"/>
  <c r="AH57" i="30"/>
  <c r="AI56" i="30"/>
  <c r="AH56" i="30"/>
  <c r="AI55" i="30"/>
  <c r="AH55" i="30"/>
  <c r="AI54" i="30"/>
  <c r="AH54" i="30"/>
  <c r="AI53" i="30"/>
  <c r="AH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AI51" i="30"/>
  <c r="AH51" i="30"/>
  <c r="AI50" i="30"/>
  <c r="AH50" i="30"/>
  <c r="AI49" i="30"/>
  <c r="AH49" i="30"/>
  <c r="AG48" i="30"/>
  <c r="AG2" i="30" s="1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B48" i="30"/>
  <c r="AI47" i="30"/>
  <c r="AH47" i="30"/>
  <c r="AI46" i="30"/>
  <c r="AH46" i="30"/>
  <c r="AI45" i="30"/>
  <c r="AH45" i="30"/>
  <c r="AI44" i="30"/>
  <c r="AH44" i="30"/>
  <c r="AI43" i="30"/>
  <c r="AH43" i="30"/>
  <c r="AI42" i="30"/>
  <c r="AH42" i="30"/>
  <c r="AI41" i="30"/>
  <c r="AH41" i="30"/>
  <c r="AI40" i="30"/>
  <c r="AH40" i="30"/>
  <c r="AI39" i="30"/>
  <c r="AH39" i="30"/>
  <c r="AI38" i="30"/>
  <c r="AH38" i="30"/>
  <c r="AI37" i="30"/>
  <c r="AH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C5" i="30"/>
  <c r="AG4" i="30"/>
  <c r="K4" i="30"/>
  <c r="E4" i="30"/>
  <c r="H4" i="30" s="1"/>
  <c r="B4" i="30"/>
  <c r="S243" i="30" s="1"/>
  <c r="Z111" i="29"/>
  <c r="Y111" i="29"/>
  <c r="X111" i="29"/>
  <c r="W111" i="29"/>
  <c r="V111" i="29"/>
  <c r="U111" i="29"/>
  <c r="U52" i="29"/>
  <c r="T111" i="29"/>
  <c r="T48" i="29"/>
  <c r="S111" i="29"/>
  <c r="Q111" i="29"/>
  <c r="E87" i="31" l="1"/>
  <c r="E89" i="31" s="1"/>
  <c r="D87" i="31"/>
  <c r="D89" i="31" s="1"/>
  <c r="C87" i="31"/>
  <c r="C89" i="31" s="1"/>
  <c r="C7" i="31" s="1"/>
  <c r="AI66" i="31"/>
  <c r="AH52" i="31"/>
  <c r="B98" i="31"/>
  <c r="B87" i="31"/>
  <c r="I90" i="31"/>
  <c r="I7" i="31"/>
  <c r="AA246" i="31"/>
  <c r="Q90" i="31"/>
  <c r="Q7" i="31"/>
  <c r="AI246" i="31"/>
  <c r="Y90" i="31"/>
  <c r="Y7" i="31"/>
  <c r="AQ246" i="31"/>
  <c r="M7" i="31"/>
  <c r="AE246" i="31"/>
  <c r="M90" i="31"/>
  <c r="U7" i="31"/>
  <c r="AM246" i="31"/>
  <c r="U90" i="31"/>
  <c r="AC7" i="31"/>
  <c r="AU246" i="31"/>
  <c r="AC90" i="31"/>
  <c r="Y246" i="31"/>
  <c r="C241" i="31"/>
  <c r="B241" i="31"/>
  <c r="G90" i="31"/>
  <c r="G7" i="31"/>
  <c r="E267" i="31"/>
  <c r="G231" i="31"/>
  <c r="J90" i="31"/>
  <c r="J7" i="31"/>
  <c r="AB246" i="31"/>
  <c r="R90" i="31"/>
  <c r="R7" i="31"/>
  <c r="AJ246" i="31"/>
  <c r="Z90" i="31"/>
  <c r="Z7" i="31"/>
  <c r="AR246" i="31"/>
  <c r="N7" i="31"/>
  <c r="AF246" i="31"/>
  <c r="N90" i="31"/>
  <c r="V7" i="31"/>
  <c r="AN246" i="31"/>
  <c r="V90" i="31"/>
  <c r="AD7" i="31"/>
  <c r="AV246" i="31"/>
  <c r="AD90" i="31"/>
  <c r="AG246" i="31"/>
  <c r="O90" i="31"/>
  <c r="O7" i="31"/>
  <c r="H226" i="31"/>
  <c r="G108" i="31"/>
  <c r="G232" i="31"/>
  <c r="J229" i="31"/>
  <c r="K229" i="31" s="1"/>
  <c r="L229" i="31" s="1"/>
  <c r="M229" i="31" s="1"/>
  <c r="N229" i="31" s="1"/>
  <c r="O229" i="31" s="1"/>
  <c r="P229" i="31" s="1"/>
  <c r="H90" i="31"/>
  <c r="H7" i="31"/>
  <c r="Z246" i="31"/>
  <c r="K90" i="31"/>
  <c r="AC246" i="31"/>
  <c r="K7" i="31"/>
  <c r="S90" i="31"/>
  <c r="S7" i="31"/>
  <c r="AK246" i="31"/>
  <c r="AA90" i="31"/>
  <c r="AA7" i="31"/>
  <c r="AS246" i="31"/>
  <c r="AO246" i="31"/>
  <c r="W90" i="31"/>
  <c r="W7" i="31"/>
  <c r="X90" i="31"/>
  <c r="X7" i="31"/>
  <c r="AP246" i="31"/>
  <c r="D90" i="31"/>
  <c r="D7" i="31"/>
  <c r="V246" i="31"/>
  <c r="L90" i="31"/>
  <c r="L7" i="31"/>
  <c r="AD246" i="31"/>
  <c r="T90" i="31"/>
  <c r="T7" i="31"/>
  <c r="AL246" i="31"/>
  <c r="AB90" i="31"/>
  <c r="AB7" i="31"/>
  <c r="AT246" i="31"/>
  <c r="AW246" i="31"/>
  <c r="AE90" i="31"/>
  <c r="AE7" i="31"/>
  <c r="P90" i="31"/>
  <c r="P7" i="31"/>
  <c r="AH246" i="31"/>
  <c r="E7" i="31"/>
  <c r="W246" i="31"/>
  <c r="E90" i="31"/>
  <c r="AF90" i="31"/>
  <c r="AF7" i="31"/>
  <c r="AX246" i="31"/>
  <c r="F7" i="31"/>
  <c r="X246" i="31"/>
  <c r="F90" i="31"/>
  <c r="AH70" i="31"/>
  <c r="E232" i="31"/>
  <c r="D243" i="31"/>
  <c r="B5" i="31"/>
  <c r="R5" i="31"/>
  <c r="AH66" i="31"/>
  <c r="F232" i="31"/>
  <c r="J5" i="31"/>
  <c r="Z5" i="31"/>
  <c r="AG2" i="31"/>
  <c r="AG6" i="31" s="1"/>
  <c r="H98" i="31"/>
  <c r="AH98" i="31" s="1"/>
  <c r="P98" i="31"/>
  <c r="X98" i="31"/>
  <c r="AF98" i="31"/>
  <c r="AI98" i="31" s="1"/>
  <c r="AH82" i="31"/>
  <c r="F108" i="31"/>
  <c r="AI82" i="31"/>
  <c r="AI48" i="31"/>
  <c r="AI52" i="31"/>
  <c r="B232" i="31"/>
  <c r="AH48" i="31"/>
  <c r="AC5" i="30"/>
  <c r="AD87" i="30"/>
  <c r="AD89" i="30" s="1"/>
  <c r="AB5" i="30"/>
  <c r="AC87" i="30"/>
  <c r="AC89" i="30" s="1"/>
  <c r="AA5" i="30"/>
  <c r="Z5" i="30"/>
  <c r="AA87" i="30"/>
  <c r="AA89" i="30" s="1"/>
  <c r="S5" i="30"/>
  <c r="X5" i="30"/>
  <c r="Y87" i="30"/>
  <c r="Y89" i="30" s="1"/>
  <c r="U5" i="30"/>
  <c r="V87" i="30"/>
  <c r="V89" i="30" s="1"/>
  <c r="V7" i="30" s="1"/>
  <c r="T5" i="30"/>
  <c r="U87" i="30"/>
  <c r="U89" i="30" s="1"/>
  <c r="AM246" i="30" s="1"/>
  <c r="R5" i="30"/>
  <c r="S87" i="30"/>
  <c r="S89" i="30" s="1"/>
  <c r="S90" i="30" s="1"/>
  <c r="P5" i="30"/>
  <c r="Q87" i="30"/>
  <c r="Q89" i="30" s="1"/>
  <c r="AI70" i="30"/>
  <c r="M5" i="30"/>
  <c r="N87" i="30"/>
  <c r="N89" i="30" s="1"/>
  <c r="L5" i="30"/>
  <c r="M87" i="30"/>
  <c r="M89" i="30" s="1"/>
  <c r="M7" i="30" s="1"/>
  <c r="K5" i="30"/>
  <c r="J5" i="30"/>
  <c r="K87" i="30"/>
  <c r="K89" i="30" s="1"/>
  <c r="K7" i="30" s="1"/>
  <c r="H5" i="30"/>
  <c r="I87" i="30"/>
  <c r="I89" i="30" s="1"/>
  <c r="AA246" i="30" s="1"/>
  <c r="J87" i="30"/>
  <c r="J89" i="30" s="1"/>
  <c r="J7" i="30" s="1"/>
  <c r="R87" i="30"/>
  <c r="R89" i="30" s="1"/>
  <c r="R90" i="30" s="1"/>
  <c r="Z87" i="30"/>
  <c r="Z89" i="30" s="1"/>
  <c r="Z90" i="30" s="1"/>
  <c r="L87" i="30"/>
  <c r="L89" i="30" s="1"/>
  <c r="L7" i="30" s="1"/>
  <c r="T87" i="30"/>
  <c r="T89" i="30" s="1"/>
  <c r="AL246" i="30" s="1"/>
  <c r="AB87" i="30"/>
  <c r="AB89" i="30" s="1"/>
  <c r="AB90" i="30" s="1"/>
  <c r="Y5" i="30"/>
  <c r="Q5" i="30"/>
  <c r="I5" i="30"/>
  <c r="AH70" i="30"/>
  <c r="AG89" i="30"/>
  <c r="O87" i="30"/>
  <c r="O89" i="30" s="1"/>
  <c r="O90" i="30" s="1"/>
  <c r="W87" i="30"/>
  <c r="W89" i="30" s="1"/>
  <c r="AO246" i="30" s="1"/>
  <c r="AE87" i="30"/>
  <c r="AE89" i="30" s="1"/>
  <c r="AE90" i="30" s="1"/>
  <c r="P87" i="30"/>
  <c r="P89" i="30" s="1"/>
  <c r="AH246" i="30" s="1"/>
  <c r="X87" i="30"/>
  <c r="X89" i="30" s="1"/>
  <c r="AP246" i="30" s="1"/>
  <c r="AF87" i="30"/>
  <c r="AF89" i="30" s="1"/>
  <c r="AF7" i="30" s="1"/>
  <c r="AG87" i="30"/>
  <c r="H87" i="30"/>
  <c r="H89" i="30" s="1"/>
  <c r="G87" i="30"/>
  <c r="G89" i="30" s="1"/>
  <c r="Y246" i="30" s="1"/>
  <c r="E5" i="30"/>
  <c r="F87" i="30"/>
  <c r="F89" i="30" s="1"/>
  <c r="X246" i="30" s="1"/>
  <c r="D5" i="30"/>
  <c r="D87" i="30"/>
  <c r="D89" i="30" s="1"/>
  <c r="D90" i="30" s="1"/>
  <c r="E87" i="30"/>
  <c r="E89" i="30" s="1"/>
  <c r="W246" i="30" s="1"/>
  <c r="AI52" i="30"/>
  <c r="B5" i="30"/>
  <c r="C87" i="30"/>
  <c r="C89" i="30" s="1"/>
  <c r="C7" i="30" s="1"/>
  <c r="AH66" i="30"/>
  <c r="B87" i="30"/>
  <c r="B89" i="30" s="1"/>
  <c r="AF5" i="30"/>
  <c r="D243" i="30"/>
  <c r="AA90" i="30"/>
  <c r="AA7" i="30"/>
  <c r="AS246" i="30"/>
  <c r="C90" i="30"/>
  <c r="D267" i="30"/>
  <c r="F231" i="30"/>
  <c r="E108" i="30"/>
  <c r="Q90" i="30"/>
  <c r="AI246" i="30"/>
  <c r="Q7" i="30"/>
  <c r="U7" i="30"/>
  <c r="U90" i="30"/>
  <c r="AC7" i="30"/>
  <c r="AU246" i="30"/>
  <c r="AC90" i="30"/>
  <c r="K90" i="30"/>
  <c r="F7" i="30"/>
  <c r="N7" i="30"/>
  <c r="N90" i="30"/>
  <c r="AF246" i="30"/>
  <c r="AD7" i="30"/>
  <c r="AV246" i="30"/>
  <c r="AD90" i="30"/>
  <c r="G226" i="30"/>
  <c r="F108" i="30"/>
  <c r="Y90" i="30"/>
  <c r="Y7" i="30"/>
  <c r="AQ246" i="30"/>
  <c r="J90" i="30"/>
  <c r="G90" i="30"/>
  <c r="J229" i="30"/>
  <c r="K229" i="30" s="1"/>
  <c r="L229" i="30" s="1"/>
  <c r="M229" i="30" s="1"/>
  <c r="N229" i="30" s="1"/>
  <c r="O229" i="30" s="1"/>
  <c r="P229" i="30" s="1"/>
  <c r="Z246" i="30"/>
  <c r="AF90" i="30"/>
  <c r="E227" i="30"/>
  <c r="AI66" i="30"/>
  <c r="H98" i="30"/>
  <c r="P98" i="30"/>
  <c r="X98" i="30"/>
  <c r="AF98" i="30"/>
  <c r="C267" i="30"/>
  <c r="D108" i="30"/>
  <c r="AH82" i="30"/>
  <c r="AH48" i="30"/>
  <c r="AH52" i="30"/>
  <c r="AI82" i="30"/>
  <c r="F5" i="30"/>
  <c r="N5" i="30"/>
  <c r="V5" i="30"/>
  <c r="AD5" i="30"/>
  <c r="AI48" i="30"/>
  <c r="B232" i="30"/>
  <c r="B89" i="28"/>
  <c r="B87" i="28"/>
  <c r="B82" i="29"/>
  <c r="B98" i="29" s="1"/>
  <c r="B66" i="29"/>
  <c r="B52" i="29"/>
  <c r="B48" i="29"/>
  <c r="AF271" i="29"/>
  <c r="AE271" i="29"/>
  <c r="AD271" i="29"/>
  <c r="AC271" i="29"/>
  <c r="AB271" i="29"/>
  <c r="AA271" i="29"/>
  <c r="Z271" i="29"/>
  <c r="Y271" i="29"/>
  <c r="X271" i="29"/>
  <c r="W271" i="29"/>
  <c r="V271" i="29"/>
  <c r="U271" i="29"/>
  <c r="T271" i="29"/>
  <c r="S271" i="29"/>
  <c r="R271" i="29"/>
  <c r="Q271" i="29"/>
  <c r="P271" i="29"/>
  <c r="O271" i="29"/>
  <c r="N271" i="29"/>
  <c r="M271" i="29"/>
  <c r="L271" i="29"/>
  <c r="K271" i="29"/>
  <c r="J271" i="29"/>
  <c r="I271" i="29"/>
  <c r="H271" i="29"/>
  <c r="G271" i="29"/>
  <c r="F271" i="29"/>
  <c r="E271" i="29"/>
  <c r="D271" i="29"/>
  <c r="C271" i="29"/>
  <c r="B271" i="29"/>
  <c r="A271" i="29"/>
  <c r="AF270" i="29"/>
  <c r="AE270" i="29"/>
  <c r="AD270" i="29"/>
  <c r="AC270" i="29"/>
  <c r="AB270" i="29"/>
  <c r="AA270" i="29"/>
  <c r="Z270" i="29"/>
  <c r="Y270" i="29"/>
  <c r="X270" i="29"/>
  <c r="W270" i="29"/>
  <c r="V270" i="29"/>
  <c r="U270" i="29"/>
  <c r="T270" i="29"/>
  <c r="S270" i="29"/>
  <c r="R270" i="29"/>
  <c r="Q270" i="29"/>
  <c r="P270" i="29"/>
  <c r="O270" i="29"/>
  <c r="N270" i="29"/>
  <c r="M270" i="29"/>
  <c r="L270" i="29"/>
  <c r="K270" i="29"/>
  <c r="J270" i="29"/>
  <c r="I270" i="29"/>
  <c r="H270" i="29"/>
  <c r="G270" i="29"/>
  <c r="F270" i="29"/>
  <c r="E270" i="29"/>
  <c r="D270" i="29"/>
  <c r="C270" i="29"/>
  <c r="B270" i="29"/>
  <c r="A270" i="29"/>
  <c r="AF269" i="29"/>
  <c r="AE269" i="29"/>
  <c r="AD269" i="29"/>
  <c r="AC269" i="29"/>
  <c r="AB269" i="29"/>
  <c r="AA269" i="29"/>
  <c r="Z269" i="29"/>
  <c r="Y269" i="29"/>
  <c r="X269" i="29"/>
  <c r="W269" i="29"/>
  <c r="V269" i="29"/>
  <c r="U269" i="29"/>
  <c r="T269" i="29"/>
  <c r="S269" i="29"/>
  <c r="R269" i="29"/>
  <c r="Q269" i="29"/>
  <c r="P269" i="29"/>
  <c r="O269" i="29"/>
  <c r="N269" i="29"/>
  <c r="M269" i="29"/>
  <c r="L269" i="29"/>
  <c r="K269" i="29"/>
  <c r="J269" i="29"/>
  <c r="I269" i="29"/>
  <c r="H269" i="29"/>
  <c r="G269" i="29"/>
  <c r="F269" i="29"/>
  <c r="E269" i="29"/>
  <c r="D269" i="29"/>
  <c r="C269" i="29"/>
  <c r="B269" i="29"/>
  <c r="A269" i="29"/>
  <c r="AF268" i="29"/>
  <c r="AE268" i="29"/>
  <c r="AD268" i="29"/>
  <c r="AC268" i="29"/>
  <c r="AB268" i="29"/>
  <c r="AA268" i="29"/>
  <c r="Z268" i="29"/>
  <c r="Y268" i="29"/>
  <c r="X268" i="29"/>
  <c r="W268" i="29"/>
  <c r="V268" i="29"/>
  <c r="U268" i="29"/>
  <c r="T268" i="29"/>
  <c r="S268" i="29"/>
  <c r="R268" i="29"/>
  <c r="Q268" i="29"/>
  <c r="P268" i="29"/>
  <c r="O268" i="29"/>
  <c r="N268" i="29"/>
  <c r="M268" i="29"/>
  <c r="L268" i="29"/>
  <c r="K268" i="29"/>
  <c r="J268" i="29"/>
  <c r="I268" i="29"/>
  <c r="H268" i="29"/>
  <c r="G268" i="29"/>
  <c r="F268" i="29"/>
  <c r="E268" i="29"/>
  <c r="D268" i="29"/>
  <c r="C268" i="29"/>
  <c r="B268" i="29"/>
  <c r="A268" i="29"/>
  <c r="AE267" i="29"/>
  <c r="AD267" i="29"/>
  <c r="AC267" i="29"/>
  <c r="AB267" i="29"/>
  <c r="AA267" i="29"/>
  <c r="Z267" i="29"/>
  <c r="Y267" i="29"/>
  <c r="X267" i="29"/>
  <c r="W267" i="29"/>
  <c r="V267" i="29"/>
  <c r="U267" i="29"/>
  <c r="T267" i="29"/>
  <c r="S267" i="29"/>
  <c r="R267" i="29"/>
  <c r="Q267" i="29"/>
  <c r="P267" i="29"/>
  <c r="C267" i="29"/>
  <c r="B267" i="29"/>
  <c r="S242" i="29"/>
  <c r="AG232" i="29"/>
  <c r="AF232" i="29"/>
  <c r="AE232" i="29"/>
  <c r="AD232" i="29"/>
  <c r="AC232" i="29"/>
  <c r="AB232" i="29"/>
  <c r="AA232" i="29"/>
  <c r="Z232" i="29"/>
  <c r="Y232" i="29"/>
  <c r="X232" i="29"/>
  <c r="W232" i="29"/>
  <c r="V232" i="29"/>
  <c r="U232" i="29"/>
  <c r="T232" i="29"/>
  <c r="S232" i="29"/>
  <c r="R232" i="29"/>
  <c r="Q232" i="29"/>
  <c r="C232" i="29"/>
  <c r="D231" i="29"/>
  <c r="E231" i="29" s="1"/>
  <c r="B231" i="29"/>
  <c r="AF267" i="29" s="1"/>
  <c r="D230" i="29"/>
  <c r="E230" i="29" s="1"/>
  <c r="F230" i="29" s="1"/>
  <c r="G230" i="29" s="1"/>
  <c r="H230" i="29" s="1"/>
  <c r="I230" i="29" s="1"/>
  <c r="J230" i="29" s="1"/>
  <c r="K230" i="29" s="1"/>
  <c r="L230" i="29" s="1"/>
  <c r="M230" i="29" s="1"/>
  <c r="N230" i="29" s="1"/>
  <c r="O230" i="29" s="1"/>
  <c r="P230" i="29" s="1"/>
  <c r="B230" i="29"/>
  <c r="D229" i="29"/>
  <c r="E229" i="29" s="1"/>
  <c r="F229" i="29" s="1"/>
  <c r="G229" i="29" s="1"/>
  <c r="H229" i="29" s="1"/>
  <c r="I229" i="29" s="1"/>
  <c r="B229" i="29"/>
  <c r="E228" i="29"/>
  <c r="F228" i="29" s="1"/>
  <c r="G228" i="29" s="1"/>
  <c r="H228" i="29" s="1"/>
  <c r="D228" i="29"/>
  <c r="B228" i="29"/>
  <c r="D227" i="29"/>
  <c r="E227" i="29" s="1"/>
  <c r="F227" i="29" s="1"/>
  <c r="G227" i="29" s="1"/>
  <c r="H227" i="29" s="1"/>
  <c r="I227" i="29" s="1"/>
  <c r="J227" i="29" s="1"/>
  <c r="K227" i="29" s="1"/>
  <c r="L227" i="29" s="1"/>
  <c r="M227" i="29" s="1"/>
  <c r="N227" i="29" s="1"/>
  <c r="O227" i="29" s="1"/>
  <c r="P227" i="29" s="1"/>
  <c r="B227" i="29"/>
  <c r="D226" i="29"/>
  <c r="E226" i="29" s="1"/>
  <c r="B226" i="29"/>
  <c r="AG224" i="29"/>
  <c r="AF224" i="29"/>
  <c r="AE224" i="29"/>
  <c r="AD224" i="29"/>
  <c r="AC224" i="29"/>
  <c r="AB224" i="29"/>
  <c r="AA224" i="29"/>
  <c r="Z224" i="29"/>
  <c r="Y224" i="29"/>
  <c r="X224" i="29"/>
  <c r="W224" i="29"/>
  <c r="V224" i="29"/>
  <c r="U224" i="29"/>
  <c r="T224" i="29"/>
  <c r="S224" i="29"/>
  <c r="R224" i="29"/>
  <c r="Q224" i="29"/>
  <c r="P224" i="29"/>
  <c r="O224" i="29"/>
  <c r="N224" i="29"/>
  <c r="M224" i="29"/>
  <c r="L224" i="29"/>
  <c r="K224" i="29"/>
  <c r="J224" i="29"/>
  <c r="I224" i="29"/>
  <c r="H224" i="29"/>
  <c r="G224" i="29"/>
  <c r="F224" i="29"/>
  <c r="E224" i="29"/>
  <c r="D224" i="29"/>
  <c r="C224" i="29"/>
  <c r="B224" i="29"/>
  <c r="AI117" i="29"/>
  <c r="AH117" i="29"/>
  <c r="AI116" i="29"/>
  <c r="AH116" i="29"/>
  <c r="AI115" i="29"/>
  <c r="AH115" i="29"/>
  <c r="AI114" i="29"/>
  <c r="AH114" i="29"/>
  <c r="AI113" i="29"/>
  <c r="AH113" i="29"/>
  <c r="AI112" i="29"/>
  <c r="AH112" i="29"/>
  <c r="AI111" i="29"/>
  <c r="AH111" i="29"/>
  <c r="AI110" i="29"/>
  <c r="AH110" i="29"/>
  <c r="AI109" i="29"/>
  <c r="AH109" i="29"/>
  <c r="AF108" i="29"/>
  <c r="AE108" i="29"/>
  <c r="AD108" i="29"/>
  <c r="AC108" i="29"/>
  <c r="AB108" i="29"/>
  <c r="Z108" i="29"/>
  <c r="Y108" i="29"/>
  <c r="X108" i="29"/>
  <c r="W108" i="29"/>
  <c r="V108" i="29"/>
  <c r="U108" i="29"/>
  <c r="T108" i="29"/>
  <c r="S108" i="29"/>
  <c r="R108" i="29"/>
  <c r="Q108" i="29"/>
  <c r="D108" i="29"/>
  <c r="C108" i="29"/>
  <c r="B108" i="29"/>
  <c r="AI107" i="29"/>
  <c r="AH107" i="29"/>
  <c r="AI106" i="29"/>
  <c r="AH106" i="29"/>
  <c r="AI105" i="29"/>
  <c r="AH105" i="29"/>
  <c r="AI104" i="29"/>
  <c r="AH104" i="29"/>
  <c r="AI103" i="29"/>
  <c r="AH103" i="29"/>
  <c r="AI102" i="29"/>
  <c r="AH102" i="29"/>
  <c r="AI101" i="29"/>
  <c r="AH101" i="29"/>
  <c r="AI100" i="29"/>
  <c r="AH100" i="29"/>
  <c r="AI99" i="29"/>
  <c r="AH99" i="29"/>
  <c r="AI97" i="29"/>
  <c r="AH97" i="29"/>
  <c r="AI96" i="29"/>
  <c r="AH96" i="29"/>
  <c r="AI95" i="29"/>
  <c r="AH95" i="29"/>
  <c r="AI94" i="29"/>
  <c r="AH94" i="29"/>
  <c r="AI93" i="29"/>
  <c r="AH93" i="29"/>
  <c r="AI92" i="29"/>
  <c r="AH92" i="29"/>
  <c r="AI91" i="29"/>
  <c r="AH91" i="29"/>
  <c r="AI88" i="29"/>
  <c r="AH88" i="29"/>
  <c r="AI86" i="29"/>
  <c r="AH86" i="29"/>
  <c r="AG86" i="29"/>
  <c r="AI85" i="29"/>
  <c r="AH85" i="29"/>
  <c r="AI84" i="29"/>
  <c r="AH84" i="29"/>
  <c r="AI83" i="29"/>
  <c r="AH83" i="29"/>
  <c r="AN82" i="29"/>
  <c r="AG82" i="29"/>
  <c r="AF82" i="29"/>
  <c r="AF98" i="29" s="1"/>
  <c r="AE82" i="29"/>
  <c r="AE98" i="29" s="1"/>
  <c r="AD82" i="29"/>
  <c r="AD98" i="29" s="1"/>
  <c r="AC82" i="29"/>
  <c r="AC98" i="29" s="1"/>
  <c r="AB82" i="29"/>
  <c r="AB98" i="29" s="1"/>
  <c r="Z82" i="29"/>
  <c r="Z98" i="29" s="1"/>
  <c r="Y82" i="29"/>
  <c r="Y98" i="29" s="1"/>
  <c r="X82" i="29"/>
  <c r="X98" i="29" s="1"/>
  <c r="W82" i="29"/>
  <c r="W98" i="29" s="1"/>
  <c r="V82" i="29"/>
  <c r="V98" i="29" s="1"/>
  <c r="U82" i="29"/>
  <c r="U98" i="29" s="1"/>
  <c r="T82" i="29"/>
  <c r="T98" i="29" s="1"/>
  <c r="S82" i="29"/>
  <c r="S98" i="29" s="1"/>
  <c r="R82" i="29"/>
  <c r="R98" i="29" s="1"/>
  <c r="Q82" i="29"/>
  <c r="Q98" i="29" s="1"/>
  <c r="P82" i="29"/>
  <c r="P98" i="29" s="1"/>
  <c r="O82" i="29"/>
  <c r="O98" i="29" s="1"/>
  <c r="N82" i="29"/>
  <c r="N98" i="29" s="1"/>
  <c r="M82" i="29"/>
  <c r="M98" i="29" s="1"/>
  <c r="L82" i="29"/>
  <c r="L98" i="29" s="1"/>
  <c r="K82" i="29"/>
  <c r="K98" i="29" s="1"/>
  <c r="J82" i="29"/>
  <c r="J98" i="29" s="1"/>
  <c r="I82" i="29"/>
  <c r="I98" i="29" s="1"/>
  <c r="H82" i="29"/>
  <c r="H98" i="29" s="1"/>
  <c r="G82" i="29"/>
  <c r="G98" i="29" s="1"/>
  <c r="F82" i="29"/>
  <c r="F98" i="29" s="1"/>
  <c r="E82" i="29"/>
  <c r="E98" i="29" s="1"/>
  <c r="D82" i="29"/>
  <c r="D98" i="29" s="1"/>
  <c r="C82" i="29"/>
  <c r="C98" i="29" s="1"/>
  <c r="AI81" i="29"/>
  <c r="AH81" i="29"/>
  <c r="AN80" i="29"/>
  <c r="AI80" i="29"/>
  <c r="AH80" i="29"/>
  <c r="AN79" i="29"/>
  <c r="AI79" i="29"/>
  <c r="AH79" i="29"/>
  <c r="AI78" i="29"/>
  <c r="AH78" i="29"/>
  <c r="AI77" i="29"/>
  <c r="AH77" i="29"/>
  <c r="AI76" i="29"/>
  <c r="AH76" i="29"/>
  <c r="AI75" i="29"/>
  <c r="AH75" i="29"/>
  <c r="AI74" i="29"/>
  <c r="AH74" i="29"/>
  <c r="AI73" i="29"/>
  <c r="AH73" i="29"/>
  <c r="AI72" i="29"/>
  <c r="AH72" i="29"/>
  <c r="AI71" i="29"/>
  <c r="AH71" i="29"/>
  <c r="AG70" i="29"/>
  <c r="AF70" i="29"/>
  <c r="AE70" i="29"/>
  <c r="AD70" i="29"/>
  <c r="AC70" i="29"/>
  <c r="AB70" i="29"/>
  <c r="Z70" i="29"/>
  <c r="Y70" i="29"/>
  <c r="X70" i="29"/>
  <c r="W70" i="29"/>
  <c r="V70" i="29"/>
  <c r="U70" i="29"/>
  <c r="T70" i="29"/>
  <c r="S70" i="29"/>
  <c r="R70" i="29"/>
  <c r="Q70" i="29"/>
  <c r="P70" i="29"/>
  <c r="O70" i="29"/>
  <c r="N70" i="29"/>
  <c r="M70" i="29"/>
  <c r="L70" i="29"/>
  <c r="AI69" i="29"/>
  <c r="AH69" i="29"/>
  <c r="AI68" i="29"/>
  <c r="AH68" i="29"/>
  <c r="AI67" i="29"/>
  <c r="AH67" i="29"/>
  <c r="AF66" i="29"/>
  <c r="AE66" i="29"/>
  <c r="AD66" i="29"/>
  <c r="AC66" i="29"/>
  <c r="AB66" i="29"/>
  <c r="Z66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AI65" i="29"/>
  <c r="AH65" i="29"/>
  <c r="AG65" i="29"/>
  <c r="AG66" i="29" s="1"/>
  <c r="AG3" i="29" s="1"/>
  <c r="AI64" i="29"/>
  <c r="AH64" i="29"/>
  <c r="AI63" i="29"/>
  <c r="AH63" i="29"/>
  <c r="AI62" i="29"/>
  <c r="AH62" i="29"/>
  <c r="AI61" i="29"/>
  <c r="AH61" i="29"/>
  <c r="AI60" i="29"/>
  <c r="AH60" i="29"/>
  <c r="AI59" i="29"/>
  <c r="AH59" i="29"/>
  <c r="AI58" i="29"/>
  <c r="AH58" i="29"/>
  <c r="AI57" i="29"/>
  <c r="AH57" i="29"/>
  <c r="AI56" i="29"/>
  <c r="AH56" i="29"/>
  <c r="AI55" i="29"/>
  <c r="AH55" i="29"/>
  <c r="AI54" i="29"/>
  <c r="AH54" i="29"/>
  <c r="AI53" i="29"/>
  <c r="AH53" i="29"/>
  <c r="AG52" i="29"/>
  <c r="AF52" i="29"/>
  <c r="AE52" i="29"/>
  <c r="AD52" i="29"/>
  <c r="AC52" i="29"/>
  <c r="AB52" i="29"/>
  <c r="Z52" i="29"/>
  <c r="Y52" i="29"/>
  <c r="X52" i="29"/>
  <c r="W52" i="29"/>
  <c r="V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I51" i="29"/>
  <c r="AH51" i="29"/>
  <c r="AI50" i="29"/>
  <c r="AH50" i="29"/>
  <c r="AI49" i="29"/>
  <c r="AH49" i="29"/>
  <c r="AG48" i="29"/>
  <c r="AF48" i="29"/>
  <c r="AE48" i="29"/>
  <c r="AD48" i="29"/>
  <c r="AC48" i="29"/>
  <c r="AB48" i="29"/>
  <c r="Z48" i="29"/>
  <c r="Y48" i="29"/>
  <c r="X48" i="29"/>
  <c r="W48" i="29"/>
  <c r="V48" i="29"/>
  <c r="U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I47" i="29"/>
  <c r="AH47" i="29"/>
  <c r="AI46" i="29"/>
  <c r="AH46" i="29"/>
  <c r="AI45" i="29"/>
  <c r="AH45" i="29"/>
  <c r="AI44" i="29"/>
  <c r="AH44" i="29"/>
  <c r="AI43" i="29"/>
  <c r="AH43" i="29"/>
  <c r="AI42" i="29"/>
  <c r="AH42" i="29"/>
  <c r="AI41" i="29"/>
  <c r="AH41" i="29"/>
  <c r="AI40" i="29"/>
  <c r="AH40" i="29"/>
  <c r="AI39" i="29"/>
  <c r="AH39" i="29"/>
  <c r="AI38" i="29"/>
  <c r="AH38" i="29"/>
  <c r="AI37" i="29"/>
  <c r="AH37" i="29"/>
  <c r="AI36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I12" i="29"/>
  <c r="AH12" i="29"/>
  <c r="AI11" i="29"/>
  <c r="AH11" i="29"/>
  <c r="AF5" i="29"/>
  <c r="AB5" i="29"/>
  <c r="Z5" i="29"/>
  <c r="Y5" i="29"/>
  <c r="X5" i="29"/>
  <c r="W5" i="29"/>
  <c r="S5" i="29"/>
  <c r="E5" i="29"/>
  <c r="AG4" i="29"/>
  <c r="K4" i="29"/>
  <c r="E4" i="29"/>
  <c r="H4" i="29" s="1"/>
  <c r="B4" i="29"/>
  <c r="S243" i="29" s="1"/>
  <c r="AG2" i="29"/>
  <c r="AG6" i="29" s="1"/>
  <c r="Z111" i="28"/>
  <c r="Y111" i="28"/>
  <c r="X111" i="28"/>
  <c r="W111" i="28"/>
  <c r="U111" i="28"/>
  <c r="T48" i="28"/>
  <c r="U48" i="28"/>
  <c r="V48" i="28"/>
  <c r="T52" i="28"/>
  <c r="U52" i="28"/>
  <c r="V52" i="28"/>
  <c r="T66" i="28"/>
  <c r="U66" i="28"/>
  <c r="V66" i="28"/>
  <c r="T70" i="28"/>
  <c r="U70" i="28"/>
  <c r="V70" i="28"/>
  <c r="T82" i="28"/>
  <c r="T98" i="28" s="1"/>
  <c r="U82" i="28"/>
  <c r="U98" i="28" s="1"/>
  <c r="V82" i="28"/>
  <c r="V98" i="28" s="1"/>
  <c r="T108" i="28"/>
  <c r="U108" i="28"/>
  <c r="V108" i="28"/>
  <c r="T111" i="28"/>
  <c r="AH111" i="28" s="1"/>
  <c r="V111" i="28"/>
  <c r="S111" i="28"/>
  <c r="P82" i="28"/>
  <c r="P66" i="28"/>
  <c r="J82" i="28"/>
  <c r="C70" i="28"/>
  <c r="D70" i="28"/>
  <c r="E70" i="28"/>
  <c r="F70" i="28"/>
  <c r="G70" i="28"/>
  <c r="H70" i="28"/>
  <c r="I70" i="28"/>
  <c r="J70" i="28"/>
  <c r="K70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E271" i="28"/>
  <c r="D271" i="28"/>
  <c r="C271" i="28"/>
  <c r="B271" i="28"/>
  <c r="A271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E270" i="28"/>
  <c r="D270" i="28"/>
  <c r="C270" i="28"/>
  <c r="B270" i="28"/>
  <c r="A270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E269" i="28"/>
  <c r="D269" i="28"/>
  <c r="C269" i="28"/>
  <c r="B269" i="28"/>
  <c r="A269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E268" i="28"/>
  <c r="D268" i="28"/>
  <c r="C268" i="28"/>
  <c r="B268" i="28"/>
  <c r="A268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F267" i="28"/>
  <c r="E267" i="28"/>
  <c r="D267" i="28"/>
  <c r="C267" i="28"/>
  <c r="B267" i="28"/>
  <c r="S24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C232" i="28"/>
  <c r="I231" i="28"/>
  <c r="H267" i="28" s="1"/>
  <c r="H231" i="28"/>
  <c r="G267" i="28" s="1"/>
  <c r="G231" i="28"/>
  <c r="F231" i="28"/>
  <c r="E231" i="28"/>
  <c r="D231" i="28"/>
  <c r="B231" i="28"/>
  <c r="AF267" i="28" s="1"/>
  <c r="G230" i="28"/>
  <c r="H230" i="28" s="1"/>
  <c r="I230" i="28" s="1"/>
  <c r="J230" i="28" s="1"/>
  <c r="K230" i="28" s="1"/>
  <c r="L230" i="28" s="1"/>
  <c r="M230" i="28" s="1"/>
  <c r="N230" i="28" s="1"/>
  <c r="O230" i="28" s="1"/>
  <c r="P230" i="28" s="1"/>
  <c r="F230" i="28"/>
  <c r="E230" i="28"/>
  <c r="D230" i="28"/>
  <c r="B230" i="28"/>
  <c r="E229" i="28"/>
  <c r="F229" i="28" s="1"/>
  <c r="G229" i="28" s="1"/>
  <c r="H229" i="28" s="1"/>
  <c r="I229" i="28" s="1"/>
  <c r="D229" i="28"/>
  <c r="B229" i="28"/>
  <c r="E228" i="28"/>
  <c r="F228" i="28" s="1"/>
  <c r="G228" i="28" s="1"/>
  <c r="H228" i="28" s="1"/>
  <c r="D228" i="28"/>
  <c r="B228" i="28"/>
  <c r="B232" i="28" s="1"/>
  <c r="I227" i="28"/>
  <c r="J227" i="28" s="1"/>
  <c r="K227" i="28" s="1"/>
  <c r="L227" i="28" s="1"/>
  <c r="M227" i="28" s="1"/>
  <c r="N227" i="28" s="1"/>
  <c r="O227" i="28" s="1"/>
  <c r="P227" i="28" s="1"/>
  <c r="H227" i="28"/>
  <c r="G227" i="28"/>
  <c r="F227" i="28"/>
  <c r="E227" i="28"/>
  <c r="D227" i="28"/>
  <c r="B227" i="28"/>
  <c r="G226" i="28"/>
  <c r="H226" i="28" s="1"/>
  <c r="F226" i="28"/>
  <c r="E226" i="28"/>
  <c r="E232" i="28" s="1"/>
  <c r="D226" i="28"/>
  <c r="D232" i="28" s="1"/>
  <c r="B226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E224" i="28"/>
  <c r="D224" i="28"/>
  <c r="C224" i="28"/>
  <c r="B224" i="28"/>
  <c r="AI117" i="28"/>
  <c r="AH117" i="28"/>
  <c r="AI116" i="28"/>
  <c r="AH116" i="28"/>
  <c r="AI115" i="28"/>
  <c r="AH115" i="28"/>
  <c r="AI114" i="28"/>
  <c r="AH114" i="28"/>
  <c r="AI113" i="28"/>
  <c r="AH113" i="28"/>
  <c r="AI112" i="28"/>
  <c r="AH112" i="28"/>
  <c r="AI111" i="28"/>
  <c r="AI110" i="28"/>
  <c r="AH110" i="28"/>
  <c r="AI109" i="28"/>
  <c r="AH109" i="28"/>
  <c r="AF108" i="28"/>
  <c r="AE108" i="28"/>
  <c r="AD108" i="28"/>
  <c r="AC108" i="28"/>
  <c r="AB108" i="28"/>
  <c r="Z108" i="28"/>
  <c r="Y108" i="28"/>
  <c r="X108" i="28"/>
  <c r="W108" i="28"/>
  <c r="S108" i="28"/>
  <c r="R108" i="28"/>
  <c r="Q108" i="28"/>
  <c r="F108" i="28"/>
  <c r="E108" i="28"/>
  <c r="D108" i="28"/>
  <c r="C108" i="28"/>
  <c r="B108" i="28"/>
  <c r="AI107" i="28"/>
  <c r="AH107" i="28"/>
  <c r="AI106" i="28"/>
  <c r="AH106" i="28"/>
  <c r="AI105" i="28"/>
  <c r="AH105" i="28"/>
  <c r="AI104" i="28"/>
  <c r="AH104" i="28"/>
  <c r="AI103" i="28"/>
  <c r="AH103" i="28"/>
  <c r="AI102" i="28"/>
  <c r="AH102" i="28"/>
  <c r="AI101" i="28"/>
  <c r="AH101" i="28"/>
  <c r="AI100" i="28"/>
  <c r="AH100" i="28"/>
  <c r="AI99" i="28"/>
  <c r="AH99" i="28"/>
  <c r="AI97" i="28"/>
  <c r="AH97" i="28"/>
  <c r="AI96" i="28"/>
  <c r="AH96" i="28"/>
  <c r="AI95" i="28"/>
  <c r="AH95" i="28"/>
  <c r="AI94" i="28"/>
  <c r="AH94" i="28"/>
  <c r="AI93" i="28"/>
  <c r="AH93" i="28"/>
  <c r="AI92" i="28"/>
  <c r="AH92" i="28"/>
  <c r="AI91" i="28"/>
  <c r="AH91" i="28"/>
  <c r="AI88" i="28"/>
  <c r="AH88" i="28"/>
  <c r="AI86" i="28"/>
  <c r="AH86" i="28"/>
  <c r="AG86" i="28"/>
  <c r="AI85" i="28"/>
  <c r="AH85" i="28"/>
  <c r="AI84" i="28"/>
  <c r="AH84" i="28"/>
  <c r="AI83" i="28"/>
  <c r="AH83" i="28"/>
  <c r="AN82" i="28"/>
  <c r="AG82" i="28"/>
  <c r="AF82" i="28"/>
  <c r="AF98" i="28" s="1"/>
  <c r="AE82" i="28"/>
  <c r="AE98" i="28" s="1"/>
  <c r="AD82" i="28"/>
  <c r="AD98" i="28" s="1"/>
  <c r="AC82" i="28"/>
  <c r="AC98" i="28" s="1"/>
  <c r="AB82" i="28"/>
  <c r="AB98" i="28" s="1"/>
  <c r="Z82" i="28"/>
  <c r="Z98" i="28" s="1"/>
  <c r="Y82" i="28"/>
  <c r="Y98" i="28" s="1"/>
  <c r="X82" i="28"/>
  <c r="X98" i="28" s="1"/>
  <c r="W82" i="28"/>
  <c r="W98" i="28" s="1"/>
  <c r="S82" i="28"/>
  <c r="S98" i="28" s="1"/>
  <c r="R82" i="28"/>
  <c r="R98" i="28" s="1"/>
  <c r="Q82" i="28"/>
  <c r="Q98" i="28" s="1"/>
  <c r="P98" i="28"/>
  <c r="O82" i="28"/>
  <c r="O98" i="28" s="1"/>
  <c r="N82" i="28"/>
  <c r="N98" i="28" s="1"/>
  <c r="M82" i="28"/>
  <c r="M98" i="28" s="1"/>
  <c r="L82" i="28"/>
  <c r="L98" i="28" s="1"/>
  <c r="K82" i="28"/>
  <c r="J5" i="28" s="1"/>
  <c r="J98" i="28"/>
  <c r="I82" i="28"/>
  <c r="I98" i="28" s="1"/>
  <c r="H82" i="28"/>
  <c r="H98" i="28" s="1"/>
  <c r="G82" i="28"/>
  <c r="G98" i="28" s="1"/>
  <c r="F82" i="28"/>
  <c r="F98" i="28" s="1"/>
  <c r="E82" i="28"/>
  <c r="E98" i="28" s="1"/>
  <c r="D82" i="28"/>
  <c r="D98" i="28" s="1"/>
  <c r="C82" i="28"/>
  <c r="B5" i="28" s="1"/>
  <c r="B82" i="28"/>
  <c r="B98" i="28" s="1"/>
  <c r="AI81" i="28"/>
  <c r="AH81" i="28"/>
  <c r="AN80" i="28"/>
  <c r="AI80" i="28"/>
  <c r="AH80" i="28"/>
  <c r="AN79" i="28"/>
  <c r="AN81" i="28" s="1"/>
  <c r="AI79" i="28"/>
  <c r="AH79" i="28"/>
  <c r="AI78" i="28"/>
  <c r="AH78" i="28"/>
  <c r="AI77" i="28"/>
  <c r="AH77" i="28"/>
  <c r="AI76" i="28"/>
  <c r="AH76" i="28"/>
  <c r="AI75" i="28"/>
  <c r="AH75" i="28"/>
  <c r="AI74" i="28"/>
  <c r="AH74" i="28"/>
  <c r="AI73" i="28"/>
  <c r="AH73" i="28"/>
  <c r="AI72" i="28"/>
  <c r="AH72" i="28"/>
  <c r="AI71" i="28"/>
  <c r="AH71" i="28"/>
  <c r="AG70" i="28"/>
  <c r="AF70" i="28"/>
  <c r="AE70" i="28"/>
  <c r="AD70" i="28"/>
  <c r="AC70" i="28"/>
  <c r="AB70" i="28"/>
  <c r="Z70" i="28"/>
  <c r="Y70" i="28"/>
  <c r="X70" i="28"/>
  <c r="W70" i="28"/>
  <c r="S70" i="28"/>
  <c r="R70" i="28"/>
  <c r="Q70" i="28"/>
  <c r="P70" i="28"/>
  <c r="O70" i="28"/>
  <c r="N70" i="28"/>
  <c r="M70" i="28"/>
  <c r="L70" i="28"/>
  <c r="B70" i="28"/>
  <c r="AI69" i="28"/>
  <c r="AH69" i="28"/>
  <c r="AI68" i="28"/>
  <c r="AH68" i="28"/>
  <c r="AI67" i="28"/>
  <c r="AH67" i="28"/>
  <c r="AF66" i="28"/>
  <c r="AE66" i="28"/>
  <c r="AD66" i="28"/>
  <c r="AC66" i="28"/>
  <c r="AB66" i="28"/>
  <c r="Z66" i="28"/>
  <c r="Y66" i="28"/>
  <c r="X66" i="28"/>
  <c r="W66" i="28"/>
  <c r="S66" i="28"/>
  <c r="R66" i="28"/>
  <c r="Q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AI65" i="28"/>
  <c r="AH65" i="28"/>
  <c r="AG65" i="28"/>
  <c r="AG66" i="28" s="1"/>
  <c r="AG3" i="28" s="1"/>
  <c r="AI64" i="28"/>
  <c r="AH64" i="28"/>
  <c r="AI63" i="28"/>
  <c r="AH63" i="28"/>
  <c r="AI62" i="28"/>
  <c r="AH62" i="28"/>
  <c r="AI61" i="28"/>
  <c r="AH61" i="28"/>
  <c r="AI60" i="28"/>
  <c r="AH60" i="28"/>
  <c r="AI59" i="28"/>
  <c r="AH59" i="28"/>
  <c r="AI58" i="28"/>
  <c r="AH58" i="28"/>
  <c r="AI57" i="28"/>
  <c r="AH57" i="28"/>
  <c r="AI56" i="28"/>
  <c r="AH56" i="28"/>
  <c r="AI55" i="28"/>
  <c r="AH55" i="28"/>
  <c r="AI54" i="28"/>
  <c r="AH54" i="28"/>
  <c r="AI53" i="28"/>
  <c r="AH53" i="28"/>
  <c r="AG52" i="28"/>
  <c r="AF52" i="28"/>
  <c r="AE52" i="28"/>
  <c r="AD52" i="28"/>
  <c r="AC52" i="28"/>
  <c r="AB52" i="28"/>
  <c r="Z52" i="28"/>
  <c r="Y52" i="28"/>
  <c r="X52" i="28"/>
  <c r="W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AI51" i="28"/>
  <c r="AH51" i="28"/>
  <c r="AI50" i="28"/>
  <c r="AH50" i="28"/>
  <c r="AI49" i="28"/>
  <c r="AH49" i="28"/>
  <c r="AG48" i="28"/>
  <c r="AG87" i="28" s="1"/>
  <c r="AF48" i="28"/>
  <c r="AE48" i="28"/>
  <c r="AD48" i="28"/>
  <c r="AC48" i="28"/>
  <c r="AB48" i="28"/>
  <c r="Z48" i="28"/>
  <c r="Y48" i="28"/>
  <c r="X48" i="28"/>
  <c r="W48" i="28"/>
  <c r="S48" i="28"/>
  <c r="R48" i="28"/>
  <c r="Q48" i="28"/>
  <c r="P48" i="28"/>
  <c r="O48" i="28"/>
  <c r="N48" i="28"/>
  <c r="N87" i="28" s="1"/>
  <c r="N89" i="28" s="1"/>
  <c r="M48" i="28"/>
  <c r="L48" i="28"/>
  <c r="K48" i="28"/>
  <c r="J48" i="28"/>
  <c r="I48" i="28"/>
  <c r="H48" i="28"/>
  <c r="G48" i="28"/>
  <c r="F48" i="28"/>
  <c r="E48" i="28"/>
  <c r="D48" i="28"/>
  <c r="C48" i="28"/>
  <c r="B48" i="28"/>
  <c r="AI47" i="28"/>
  <c r="AH47" i="28"/>
  <c r="AI46" i="28"/>
  <c r="AH46" i="28"/>
  <c r="AI45" i="28"/>
  <c r="AH45" i="28"/>
  <c r="AI44" i="28"/>
  <c r="AH44" i="28"/>
  <c r="AI43" i="28"/>
  <c r="AH43" i="28"/>
  <c r="AI42" i="28"/>
  <c r="AH42" i="28"/>
  <c r="AI41" i="28"/>
  <c r="AH41" i="28"/>
  <c r="AI40" i="28"/>
  <c r="AH40" i="28"/>
  <c r="AI39" i="28"/>
  <c r="AH39" i="28"/>
  <c r="AI38" i="28"/>
  <c r="AH38" i="28"/>
  <c r="AI37" i="28"/>
  <c r="AH37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Z5" i="28"/>
  <c r="T5" i="28"/>
  <c r="AG4" i="28"/>
  <c r="K4" i="28"/>
  <c r="E4" i="28"/>
  <c r="H4" i="28" s="1"/>
  <c r="B4" i="28"/>
  <c r="S243" i="28" s="1"/>
  <c r="AG2" i="28"/>
  <c r="U246" i="31" l="1"/>
  <c r="C90" i="31"/>
  <c r="AH87" i="31"/>
  <c r="AI87" i="31"/>
  <c r="B89" i="31"/>
  <c r="B90" i="31" s="1"/>
  <c r="I226" i="31"/>
  <c r="K6" i="31"/>
  <c r="F267" i="31"/>
  <c r="H231" i="31"/>
  <c r="AX246" i="30"/>
  <c r="AW246" i="30"/>
  <c r="AE7" i="30"/>
  <c r="AB7" i="30"/>
  <c r="AT246" i="30"/>
  <c r="V90" i="30"/>
  <c r="AN246" i="30"/>
  <c r="AK246" i="30"/>
  <c r="S7" i="30"/>
  <c r="Z7" i="30"/>
  <c r="AR246" i="30"/>
  <c r="W7" i="30"/>
  <c r="T90" i="30"/>
  <c r="T7" i="30"/>
  <c r="AJ246" i="30"/>
  <c r="R7" i="30"/>
  <c r="P90" i="30"/>
  <c r="P7" i="30"/>
  <c r="O7" i="30"/>
  <c r="AG246" i="30"/>
  <c r="M90" i="30"/>
  <c r="AE246" i="30"/>
  <c r="L90" i="30"/>
  <c r="AD246" i="30"/>
  <c r="AC246" i="30"/>
  <c r="AB246" i="30"/>
  <c r="I7" i="30"/>
  <c r="I90" i="30"/>
  <c r="AH98" i="30"/>
  <c r="X90" i="30"/>
  <c r="X7" i="30"/>
  <c r="W90" i="30"/>
  <c r="C241" i="30"/>
  <c r="H7" i="30"/>
  <c r="H90" i="30"/>
  <c r="B241" i="30"/>
  <c r="V246" i="30"/>
  <c r="AI98" i="30"/>
  <c r="G7" i="30"/>
  <c r="D7" i="30"/>
  <c r="F90" i="30"/>
  <c r="AI87" i="30"/>
  <c r="E7" i="30"/>
  <c r="AH87" i="30"/>
  <c r="E90" i="30"/>
  <c r="U246" i="30"/>
  <c r="H226" i="30"/>
  <c r="E232" i="30"/>
  <c r="F227" i="30"/>
  <c r="E267" i="30"/>
  <c r="G231" i="30"/>
  <c r="G108" i="30" s="1"/>
  <c r="B90" i="30"/>
  <c r="AI89" i="30"/>
  <c r="AH89" i="30"/>
  <c r="B7" i="30"/>
  <c r="T246" i="30"/>
  <c r="AE5" i="29"/>
  <c r="AF87" i="29"/>
  <c r="AF89" i="29" s="1"/>
  <c r="AD5" i="29"/>
  <c r="AC5" i="29"/>
  <c r="AD87" i="29"/>
  <c r="AD89" i="29" s="1"/>
  <c r="AA5" i="29"/>
  <c r="AB87" i="29"/>
  <c r="AB89" i="29" s="1"/>
  <c r="Z87" i="29"/>
  <c r="Z89" i="29" s="1"/>
  <c r="X87" i="29"/>
  <c r="X89" i="29" s="1"/>
  <c r="V5" i="29"/>
  <c r="V87" i="29"/>
  <c r="V89" i="29" s="1"/>
  <c r="U5" i="29"/>
  <c r="T5" i="29"/>
  <c r="T87" i="29"/>
  <c r="T89" i="29" s="1"/>
  <c r="R5" i="29"/>
  <c r="Q5" i="29"/>
  <c r="R87" i="29"/>
  <c r="R89" i="29" s="1"/>
  <c r="D232" i="29"/>
  <c r="B232" i="29"/>
  <c r="AN81" i="29"/>
  <c r="Y87" i="29"/>
  <c r="Y89" i="29" s="1"/>
  <c r="S87" i="29"/>
  <c r="S89" i="29" s="1"/>
  <c r="S90" i="29" s="1"/>
  <c r="U87" i="29"/>
  <c r="U89" i="29" s="1"/>
  <c r="AC87" i="29"/>
  <c r="AC89" i="29" s="1"/>
  <c r="W87" i="29"/>
  <c r="W89" i="29" s="1"/>
  <c r="W7" i="29" s="1"/>
  <c r="AE87" i="29"/>
  <c r="AE89" i="29" s="1"/>
  <c r="AW246" i="29" s="1"/>
  <c r="P5" i="29"/>
  <c r="Q87" i="29"/>
  <c r="Q89" i="29" s="1"/>
  <c r="O5" i="29"/>
  <c r="P87" i="29"/>
  <c r="P89" i="29" s="1"/>
  <c r="N5" i="29"/>
  <c r="O87" i="29"/>
  <c r="O89" i="29" s="1"/>
  <c r="O7" i="29" s="1"/>
  <c r="M5" i="29"/>
  <c r="N87" i="29"/>
  <c r="N89" i="29" s="1"/>
  <c r="N7" i="29" s="1"/>
  <c r="L5" i="29"/>
  <c r="AI70" i="29"/>
  <c r="M87" i="29"/>
  <c r="M89" i="29" s="1"/>
  <c r="M7" i="29" s="1"/>
  <c r="K5" i="29"/>
  <c r="L87" i="29"/>
  <c r="L89" i="29" s="1"/>
  <c r="AD246" i="29" s="1"/>
  <c r="J5" i="29"/>
  <c r="K87" i="29"/>
  <c r="K89" i="29" s="1"/>
  <c r="K90" i="29" s="1"/>
  <c r="I5" i="29"/>
  <c r="J87" i="29"/>
  <c r="J89" i="29" s="1"/>
  <c r="J90" i="29" s="1"/>
  <c r="H5" i="29"/>
  <c r="I87" i="29"/>
  <c r="I89" i="29" s="1"/>
  <c r="I90" i="29" s="1"/>
  <c r="G5" i="29"/>
  <c r="AI66" i="29"/>
  <c r="H87" i="29"/>
  <c r="H89" i="29" s="1"/>
  <c r="H7" i="29" s="1"/>
  <c r="B87" i="29"/>
  <c r="B89" i="29" s="1"/>
  <c r="G87" i="29"/>
  <c r="G89" i="29" s="1"/>
  <c r="Y246" i="29" s="1"/>
  <c r="F5" i="29"/>
  <c r="AI52" i="29"/>
  <c r="F87" i="29"/>
  <c r="F89" i="29" s="1"/>
  <c r="F90" i="29" s="1"/>
  <c r="D5" i="29"/>
  <c r="E87" i="29"/>
  <c r="E89" i="29" s="1"/>
  <c r="E7" i="29" s="1"/>
  <c r="C5" i="29"/>
  <c r="D87" i="29"/>
  <c r="D89" i="29" s="1"/>
  <c r="D7" i="29" s="1"/>
  <c r="C87" i="29"/>
  <c r="C89" i="29" s="1"/>
  <c r="C90" i="29" s="1"/>
  <c r="B5" i="29"/>
  <c r="C7" i="29"/>
  <c r="AA7" i="29"/>
  <c r="AS246" i="29"/>
  <c r="T90" i="29"/>
  <c r="T7" i="29"/>
  <c r="AL246" i="29"/>
  <c r="AB90" i="29"/>
  <c r="AB7" i="29"/>
  <c r="AT246" i="29"/>
  <c r="D267" i="29"/>
  <c r="F231" i="29"/>
  <c r="U7" i="29"/>
  <c r="AM246" i="29"/>
  <c r="U90" i="29"/>
  <c r="AC7" i="29"/>
  <c r="AU246" i="29"/>
  <c r="AC90" i="29"/>
  <c r="V7" i="29"/>
  <c r="AN246" i="29"/>
  <c r="V90" i="29"/>
  <c r="AD7" i="29"/>
  <c r="AV246" i="29"/>
  <c r="AD90" i="29"/>
  <c r="AG89" i="29"/>
  <c r="AI98" i="29"/>
  <c r="AH98" i="29"/>
  <c r="P90" i="29"/>
  <c r="P7" i="29"/>
  <c r="AH246" i="29"/>
  <c r="X90" i="29"/>
  <c r="X7" i="29"/>
  <c r="AP246" i="29"/>
  <c r="AF90" i="29"/>
  <c r="AF7" i="29"/>
  <c r="AX246" i="29"/>
  <c r="J229" i="29"/>
  <c r="K229" i="29" s="1"/>
  <c r="L229" i="29" s="1"/>
  <c r="M229" i="29" s="1"/>
  <c r="N229" i="29" s="1"/>
  <c r="O229" i="29" s="1"/>
  <c r="P229" i="29" s="1"/>
  <c r="Q90" i="29"/>
  <c r="Q7" i="29"/>
  <c r="AI246" i="29"/>
  <c r="Y90" i="29"/>
  <c r="Y7" i="29"/>
  <c r="AQ246" i="29"/>
  <c r="AG87" i="29"/>
  <c r="F226" i="29"/>
  <c r="E108" i="29"/>
  <c r="E232" i="29"/>
  <c r="R90" i="29"/>
  <c r="R7" i="29"/>
  <c r="AJ246" i="29"/>
  <c r="Z90" i="29"/>
  <c r="Z7" i="29"/>
  <c r="AR246" i="29"/>
  <c r="AH70" i="29"/>
  <c r="D243" i="29"/>
  <c r="AH66" i="29"/>
  <c r="AH82" i="29"/>
  <c r="AH48" i="29"/>
  <c r="AH52" i="29"/>
  <c r="AI82" i="29"/>
  <c r="AI48" i="29"/>
  <c r="AE5" i="28"/>
  <c r="AF87" i="28"/>
  <c r="AF89" i="28" s="1"/>
  <c r="AD5" i="28"/>
  <c r="AE87" i="28"/>
  <c r="AE89" i="28" s="1"/>
  <c r="AC5" i="28"/>
  <c r="AC87" i="28"/>
  <c r="AC89" i="28" s="1"/>
  <c r="AB5" i="28"/>
  <c r="AD87" i="28"/>
  <c r="AD89" i="28" s="1"/>
  <c r="AB87" i="28"/>
  <c r="AB89" i="28" s="1"/>
  <c r="Z87" i="28"/>
  <c r="Z89" i="28" s="1"/>
  <c r="Y5" i="28"/>
  <c r="X5" i="28"/>
  <c r="Y87" i="28"/>
  <c r="Y89" i="28" s="1"/>
  <c r="W5" i="28"/>
  <c r="X87" i="28"/>
  <c r="X89" i="28" s="1"/>
  <c r="V5" i="28"/>
  <c r="W87" i="28"/>
  <c r="W89" i="28" s="1"/>
  <c r="AO246" i="28" s="1"/>
  <c r="T87" i="28"/>
  <c r="T89" i="28" s="1"/>
  <c r="T90" i="28" s="1"/>
  <c r="U87" i="28"/>
  <c r="U89" i="28" s="1"/>
  <c r="U90" i="28" s="1"/>
  <c r="V87" i="28"/>
  <c r="V89" i="28" s="1"/>
  <c r="V90" i="28" s="1"/>
  <c r="U5" i="28"/>
  <c r="R5" i="28"/>
  <c r="S87" i="28"/>
  <c r="S89" i="28" s="1"/>
  <c r="Q5" i="28"/>
  <c r="R87" i="28"/>
  <c r="R89" i="28" s="1"/>
  <c r="P5" i="28"/>
  <c r="Q87" i="28"/>
  <c r="Q89" i="28" s="1"/>
  <c r="O5" i="28"/>
  <c r="P87" i="28"/>
  <c r="P89" i="28" s="1"/>
  <c r="P90" i="28" s="1"/>
  <c r="O87" i="28"/>
  <c r="O89" i="28" s="1"/>
  <c r="N5" i="28"/>
  <c r="M5" i="28"/>
  <c r="L5" i="28"/>
  <c r="M87" i="28"/>
  <c r="M89" i="28" s="1"/>
  <c r="M90" i="28" s="1"/>
  <c r="L87" i="28"/>
  <c r="L89" i="28" s="1"/>
  <c r="K98" i="28"/>
  <c r="K87" i="28"/>
  <c r="K89" i="28" s="1"/>
  <c r="K90" i="28" s="1"/>
  <c r="I5" i="28"/>
  <c r="H5" i="28"/>
  <c r="I87" i="28"/>
  <c r="I89" i="28" s="1"/>
  <c r="AA246" i="28" s="1"/>
  <c r="G5" i="28"/>
  <c r="H87" i="28"/>
  <c r="H89" i="28" s="1"/>
  <c r="H7" i="28" s="1"/>
  <c r="AI70" i="28"/>
  <c r="J87" i="28"/>
  <c r="J89" i="28" s="1"/>
  <c r="J7" i="28" s="1"/>
  <c r="F5" i="28"/>
  <c r="G87" i="28"/>
  <c r="G89" i="28" s="1"/>
  <c r="G90" i="28" s="1"/>
  <c r="E5" i="28"/>
  <c r="F87" i="28"/>
  <c r="F89" i="28" s="1"/>
  <c r="F90" i="28" s="1"/>
  <c r="D5" i="28"/>
  <c r="E87" i="28"/>
  <c r="E89" i="28" s="1"/>
  <c r="E90" i="28" s="1"/>
  <c r="D87" i="28"/>
  <c r="D89" i="28" s="1"/>
  <c r="V246" i="28" s="1"/>
  <c r="C98" i="28"/>
  <c r="AH98" i="28" s="1"/>
  <c r="AI66" i="28"/>
  <c r="C87" i="28"/>
  <c r="C89" i="28" s="1"/>
  <c r="C7" i="28" s="1"/>
  <c r="AH52" i="28"/>
  <c r="AF5" i="28"/>
  <c r="AI52" i="28"/>
  <c r="AI48" i="28"/>
  <c r="Q90" i="28"/>
  <c r="Q7" i="28"/>
  <c r="AI246" i="28"/>
  <c r="Y90" i="28"/>
  <c r="Y7" i="28"/>
  <c r="AQ246" i="28"/>
  <c r="R90" i="28"/>
  <c r="R7" i="28"/>
  <c r="AJ246" i="28"/>
  <c r="Z90" i="28"/>
  <c r="Z7" i="28"/>
  <c r="AR246" i="28"/>
  <c r="AB90" i="28"/>
  <c r="AT246" i="28"/>
  <c r="AB7" i="28"/>
  <c r="X90" i="28"/>
  <c r="X7" i="28"/>
  <c r="AP246" i="28"/>
  <c r="J229" i="28"/>
  <c r="K229" i="28" s="1"/>
  <c r="L229" i="28" s="1"/>
  <c r="M229" i="28" s="1"/>
  <c r="N229" i="28" s="1"/>
  <c r="O229" i="28" s="1"/>
  <c r="P229" i="28" s="1"/>
  <c r="M7" i="28"/>
  <c r="U7" i="28"/>
  <c r="AM246" i="28"/>
  <c r="AC7" i="28"/>
  <c r="AU246" i="28"/>
  <c r="AC90" i="28"/>
  <c r="AF90" i="28"/>
  <c r="AF7" i="28"/>
  <c r="AX246" i="28"/>
  <c r="S90" i="28"/>
  <c r="S7" i="28"/>
  <c r="AK246" i="28"/>
  <c r="AL246" i="28"/>
  <c r="T7" i="28"/>
  <c r="N7" i="28"/>
  <c r="AF246" i="28"/>
  <c r="N90" i="28"/>
  <c r="V7" i="28"/>
  <c r="AN246" i="28"/>
  <c r="AD7" i="28"/>
  <c r="AV246" i="28"/>
  <c r="AD90" i="28"/>
  <c r="F232" i="28"/>
  <c r="K7" i="28"/>
  <c r="AC246" i="28"/>
  <c r="AG89" i="28"/>
  <c r="I226" i="28"/>
  <c r="H232" i="28"/>
  <c r="H108" i="28"/>
  <c r="AA7" i="28"/>
  <c r="AS246" i="28"/>
  <c r="L90" i="28"/>
  <c r="AD246" i="28"/>
  <c r="L7" i="28"/>
  <c r="AG246" i="28"/>
  <c r="O90" i="28"/>
  <c r="O7" i="28"/>
  <c r="AW246" i="28"/>
  <c r="AE90" i="28"/>
  <c r="AE7" i="28"/>
  <c r="AG6" i="28"/>
  <c r="AI98" i="28"/>
  <c r="AH70" i="28"/>
  <c r="D243" i="28"/>
  <c r="AH66" i="28"/>
  <c r="C5" i="28"/>
  <c r="K5" i="28"/>
  <c r="S5" i="28"/>
  <c r="AA5" i="28"/>
  <c r="G232" i="28"/>
  <c r="AH82" i="28"/>
  <c r="AH48" i="28"/>
  <c r="AI82" i="28"/>
  <c r="G108" i="28"/>
  <c r="J231" i="28"/>
  <c r="T246" i="31" l="1"/>
  <c r="B7" i="31"/>
  <c r="A7" i="31" s="1"/>
  <c r="AH89" i="31"/>
  <c r="AI89" i="31"/>
  <c r="AI90" i="31"/>
  <c r="AH90" i="31"/>
  <c r="G267" i="31"/>
  <c r="I231" i="31"/>
  <c r="H232" i="31"/>
  <c r="H108" i="31"/>
  <c r="I108" i="31"/>
  <c r="J226" i="31"/>
  <c r="K6" i="30"/>
  <c r="A7" i="30"/>
  <c r="G227" i="30"/>
  <c r="F232" i="30"/>
  <c r="I226" i="30"/>
  <c r="H108" i="30"/>
  <c r="AI90" i="30"/>
  <c r="AH90" i="30"/>
  <c r="F267" i="30"/>
  <c r="H231" i="30"/>
  <c r="AE7" i="29"/>
  <c r="AE90" i="29"/>
  <c r="W90" i="29"/>
  <c r="AO246" i="29"/>
  <c r="AK246" i="29"/>
  <c r="S7" i="29"/>
  <c r="K7" i="29"/>
  <c r="AC246" i="29"/>
  <c r="N90" i="29"/>
  <c r="AF246" i="29"/>
  <c r="O90" i="29"/>
  <c r="AG246" i="29"/>
  <c r="M90" i="29"/>
  <c r="AE246" i="29"/>
  <c r="L7" i="29"/>
  <c r="L90" i="29"/>
  <c r="I7" i="29"/>
  <c r="H90" i="29"/>
  <c r="AB246" i="29"/>
  <c r="J7" i="29"/>
  <c r="C241" i="29"/>
  <c r="AA246" i="29"/>
  <c r="Z246" i="29"/>
  <c r="G7" i="29"/>
  <c r="G90" i="29"/>
  <c r="B241" i="29"/>
  <c r="X246" i="29"/>
  <c r="F7" i="29"/>
  <c r="V246" i="29"/>
  <c r="U246" i="29"/>
  <c r="AI87" i="29"/>
  <c r="E90" i="29"/>
  <c r="W246" i="29"/>
  <c r="D90" i="29"/>
  <c r="AH87" i="29"/>
  <c r="G226" i="29"/>
  <c r="F108" i="29"/>
  <c r="F232" i="29"/>
  <c r="E267" i="29"/>
  <c r="G231" i="29"/>
  <c r="AI89" i="29"/>
  <c r="AH89" i="29"/>
  <c r="B7" i="29"/>
  <c r="T246" i="29"/>
  <c r="W7" i="28"/>
  <c r="W90" i="28"/>
  <c r="P7" i="28"/>
  <c r="AH246" i="28"/>
  <c r="AE246" i="28"/>
  <c r="I90" i="28"/>
  <c r="I7" i="28"/>
  <c r="AB246" i="28"/>
  <c r="J90" i="28"/>
  <c r="Y246" i="28"/>
  <c r="H90" i="28"/>
  <c r="Z246" i="28"/>
  <c r="B241" i="28"/>
  <c r="C241" i="28"/>
  <c r="C90" i="28"/>
  <c r="G7" i="28"/>
  <c r="X246" i="28"/>
  <c r="F7" i="28"/>
  <c r="W246" i="28"/>
  <c r="E7" i="28"/>
  <c r="D7" i="28"/>
  <c r="D90" i="28"/>
  <c r="AI87" i="28"/>
  <c r="U246" i="28"/>
  <c r="AH87" i="28"/>
  <c r="K231" i="28"/>
  <c r="I267" i="28"/>
  <c r="AI89" i="28"/>
  <c r="AH89" i="28"/>
  <c r="B7" i="28"/>
  <c r="T246" i="28"/>
  <c r="B90" i="28"/>
  <c r="I108" i="28"/>
  <c r="J226" i="28"/>
  <c r="H267" i="31" l="1"/>
  <c r="J231" i="31"/>
  <c r="J108" i="31"/>
  <c r="K226" i="31"/>
  <c r="J226" i="30"/>
  <c r="G267" i="30"/>
  <c r="I231" i="30"/>
  <c r="H227" i="30"/>
  <c r="G232" i="30"/>
  <c r="K6" i="29"/>
  <c r="A7" i="29"/>
  <c r="F267" i="29"/>
  <c r="H231" i="29"/>
  <c r="H226" i="29"/>
  <c r="G108" i="29"/>
  <c r="G232" i="29"/>
  <c r="AI90" i="29"/>
  <c r="AH90" i="29"/>
  <c r="K6" i="28"/>
  <c r="A7" i="28"/>
  <c r="J108" i="28"/>
  <c r="K226" i="28"/>
  <c r="AH90" i="28"/>
  <c r="AI90" i="28"/>
  <c r="J267" i="28"/>
  <c r="L231" i="28"/>
  <c r="L226" i="31" l="1"/>
  <c r="K108" i="31"/>
  <c r="K231" i="31"/>
  <c r="I267" i="31"/>
  <c r="I227" i="30"/>
  <c r="H232" i="30"/>
  <c r="H267" i="30"/>
  <c r="J231" i="30"/>
  <c r="J108" i="30"/>
  <c r="K226" i="30"/>
  <c r="I108" i="30"/>
  <c r="I226" i="29"/>
  <c r="H108" i="29"/>
  <c r="H232" i="29"/>
  <c r="G267" i="29"/>
  <c r="I231" i="29"/>
  <c r="L226" i="28"/>
  <c r="K108" i="28"/>
  <c r="K267" i="28"/>
  <c r="M231" i="28"/>
  <c r="J267" i="31" l="1"/>
  <c r="L231" i="31"/>
  <c r="M226" i="31"/>
  <c r="L108" i="31"/>
  <c r="K231" i="30"/>
  <c r="I267" i="30"/>
  <c r="K108" i="30"/>
  <c r="L226" i="30"/>
  <c r="J227" i="30"/>
  <c r="H267" i="29"/>
  <c r="J231" i="29"/>
  <c r="I108" i="29"/>
  <c r="J226" i="29"/>
  <c r="L267" i="28"/>
  <c r="N231" i="28"/>
  <c r="M226" i="28"/>
  <c r="L108" i="28"/>
  <c r="M111" i="27"/>
  <c r="AF271" i="27"/>
  <c r="AE271" i="27"/>
  <c r="AD271" i="27"/>
  <c r="AC271" i="27"/>
  <c r="AB271" i="27"/>
  <c r="AA271" i="27"/>
  <c r="Z271" i="27"/>
  <c r="Y271" i="27"/>
  <c r="X271" i="27"/>
  <c r="W271" i="27"/>
  <c r="V271" i="27"/>
  <c r="U271" i="27"/>
  <c r="T271" i="27"/>
  <c r="S271" i="27"/>
  <c r="R271" i="27"/>
  <c r="Q271" i="27"/>
  <c r="P271" i="27"/>
  <c r="O271" i="27"/>
  <c r="N271" i="27"/>
  <c r="M271" i="27"/>
  <c r="L271" i="27"/>
  <c r="K271" i="27"/>
  <c r="J271" i="27"/>
  <c r="I271" i="27"/>
  <c r="H271" i="27"/>
  <c r="G271" i="27"/>
  <c r="F271" i="27"/>
  <c r="E271" i="27"/>
  <c r="D271" i="27"/>
  <c r="C271" i="27"/>
  <c r="B271" i="27"/>
  <c r="A271" i="27"/>
  <c r="AF270" i="27"/>
  <c r="AE270" i="27"/>
  <c r="AD270" i="27"/>
  <c r="AC270" i="27"/>
  <c r="AB270" i="27"/>
  <c r="AA270" i="27"/>
  <c r="Z270" i="27"/>
  <c r="Y270" i="27"/>
  <c r="X270" i="27"/>
  <c r="W270" i="27"/>
  <c r="V270" i="27"/>
  <c r="U270" i="27"/>
  <c r="T270" i="27"/>
  <c r="S270" i="27"/>
  <c r="R270" i="27"/>
  <c r="Q270" i="27"/>
  <c r="P270" i="27"/>
  <c r="O270" i="27"/>
  <c r="N270" i="27"/>
  <c r="M270" i="27"/>
  <c r="L270" i="27"/>
  <c r="K270" i="27"/>
  <c r="J270" i="27"/>
  <c r="I270" i="27"/>
  <c r="H270" i="27"/>
  <c r="G270" i="27"/>
  <c r="F270" i="27"/>
  <c r="E270" i="27"/>
  <c r="D270" i="27"/>
  <c r="C270" i="27"/>
  <c r="B270" i="27"/>
  <c r="A270" i="27"/>
  <c r="AF269" i="27"/>
  <c r="AE269" i="27"/>
  <c r="AD269" i="27"/>
  <c r="AC269" i="27"/>
  <c r="AB269" i="27"/>
  <c r="AA269" i="27"/>
  <c r="Z269" i="27"/>
  <c r="Y269" i="27"/>
  <c r="X269" i="27"/>
  <c r="W269" i="27"/>
  <c r="V269" i="27"/>
  <c r="U269" i="27"/>
  <c r="T269" i="27"/>
  <c r="S269" i="27"/>
  <c r="R269" i="27"/>
  <c r="Q269" i="27"/>
  <c r="P269" i="27"/>
  <c r="O269" i="27"/>
  <c r="N269" i="27"/>
  <c r="M269" i="27"/>
  <c r="L269" i="27"/>
  <c r="K269" i="27"/>
  <c r="J269" i="27"/>
  <c r="I269" i="27"/>
  <c r="H269" i="27"/>
  <c r="G269" i="27"/>
  <c r="F269" i="27"/>
  <c r="E269" i="27"/>
  <c r="D269" i="27"/>
  <c r="C269" i="27"/>
  <c r="B269" i="27"/>
  <c r="A269" i="27"/>
  <c r="AF268" i="27"/>
  <c r="AE268" i="27"/>
  <c r="AD268" i="27"/>
  <c r="AC268" i="27"/>
  <c r="AB268" i="27"/>
  <c r="AA268" i="27"/>
  <c r="Z268" i="27"/>
  <c r="Y268" i="27"/>
  <c r="X268" i="27"/>
  <c r="W268" i="27"/>
  <c r="V268" i="27"/>
  <c r="U268" i="27"/>
  <c r="T268" i="27"/>
  <c r="S268" i="27"/>
  <c r="R268" i="27"/>
  <c r="Q268" i="27"/>
  <c r="P268" i="27"/>
  <c r="O268" i="27"/>
  <c r="N268" i="27"/>
  <c r="M268" i="27"/>
  <c r="L268" i="27"/>
  <c r="K268" i="27"/>
  <c r="J268" i="27"/>
  <c r="I268" i="27"/>
  <c r="H268" i="27"/>
  <c r="G268" i="27"/>
  <c r="F268" i="27"/>
  <c r="E268" i="27"/>
  <c r="D268" i="27"/>
  <c r="C268" i="27"/>
  <c r="B268" i="27"/>
  <c r="A268" i="27"/>
  <c r="AE267" i="27"/>
  <c r="AD267" i="27"/>
  <c r="AC267" i="27"/>
  <c r="AB267" i="27"/>
  <c r="AA267" i="27"/>
  <c r="Z267" i="27"/>
  <c r="Y267" i="27"/>
  <c r="X267" i="27"/>
  <c r="W267" i="27"/>
  <c r="V267" i="27"/>
  <c r="U267" i="27"/>
  <c r="T267" i="27"/>
  <c r="S267" i="27"/>
  <c r="R267" i="27"/>
  <c r="Q267" i="27"/>
  <c r="P267" i="27"/>
  <c r="B267" i="27"/>
  <c r="S242" i="27"/>
  <c r="AG232" i="27"/>
  <c r="AF232" i="27"/>
  <c r="AE232" i="27"/>
  <c r="AD232" i="27"/>
  <c r="AC232" i="27"/>
  <c r="AB232" i="27"/>
  <c r="AA232" i="27"/>
  <c r="Z232" i="27"/>
  <c r="Y232" i="27"/>
  <c r="X232" i="27"/>
  <c r="W232" i="27"/>
  <c r="V232" i="27"/>
  <c r="U232" i="27"/>
  <c r="T232" i="27"/>
  <c r="S232" i="27"/>
  <c r="R232" i="27"/>
  <c r="Q232" i="27"/>
  <c r="C232" i="27"/>
  <c r="E231" i="27"/>
  <c r="D267" i="27" s="1"/>
  <c r="D231" i="27"/>
  <c r="C267" i="27" s="1"/>
  <c r="B231" i="27"/>
  <c r="AF267" i="27" s="1"/>
  <c r="G230" i="27"/>
  <c r="H230" i="27" s="1"/>
  <c r="I230" i="27" s="1"/>
  <c r="J230" i="27" s="1"/>
  <c r="K230" i="27" s="1"/>
  <c r="L230" i="27" s="1"/>
  <c r="M230" i="27" s="1"/>
  <c r="N230" i="27" s="1"/>
  <c r="O230" i="27" s="1"/>
  <c r="P230" i="27" s="1"/>
  <c r="F230" i="27"/>
  <c r="E230" i="27"/>
  <c r="D230" i="27"/>
  <c r="B230" i="27"/>
  <c r="E229" i="27"/>
  <c r="F229" i="27" s="1"/>
  <c r="G229" i="27" s="1"/>
  <c r="H229" i="27" s="1"/>
  <c r="I229" i="27" s="1"/>
  <c r="D229" i="27"/>
  <c r="D232" i="27" s="1"/>
  <c r="B229" i="27"/>
  <c r="E228" i="27"/>
  <c r="F228" i="27" s="1"/>
  <c r="G228" i="27" s="1"/>
  <c r="H228" i="27" s="1"/>
  <c r="D228" i="27"/>
  <c r="B228" i="27"/>
  <c r="B232" i="27" s="1"/>
  <c r="E227" i="27"/>
  <c r="F227" i="27" s="1"/>
  <c r="G227" i="27" s="1"/>
  <c r="H227" i="27" s="1"/>
  <c r="I227" i="27" s="1"/>
  <c r="J227" i="27" s="1"/>
  <c r="K227" i="27" s="1"/>
  <c r="L227" i="27" s="1"/>
  <c r="M227" i="27" s="1"/>
  <c r="N227" i="27" s="1"/>
  <c r="O227" i="27" s="1"/>
  <c r="P227" i="27" s="1"/>
  <c r="D227" i="27"/>
  <c r="B227" i="27"/>
  <c r="G226" i="27"/>
  <c r="H226" i="27" s="1"/>
  <c r="F226" i="27"/>
  <c r="E226" i="27"/>
  <c r="D226" i="27"/>
  <c r="B226" i="27"/>
  <c r="B108" i="27" s="1"/>
  <c r="AG224" i="27"/>
  <c r="AF224" i="27"/>
  <c r="AE224" i="27"/>
  <c r="AD224" i="27"/>
  <c r="AC224" i="27"/>
  <c r="AB224" i="27"/>
  <c r="AA224" i="27"/>
  <c r="Z224" i="27"/>
  <c r="Y224" i="27"/>
  <c r="X224" i="27"/>
  <c r="W224" i="27"/>
  <c r="V224" i="27"/>
  <c r="U224" i="27"/>
  <c r="T224" i="27"/>
  <c r="S224" i="27"/>
  <c r="R224" i="27"/>
  <c r="Q224" i="27"/>
  <c r="P224" i="27"/>
  <c r="O224" i="27"/>
  <c r="N224" i="27"/>
  <c r="M224" i="27"/>
  <c r="L224" i="27"/>
  <c r="K224" i="27"/>
  <c r="J224" i="27"/>
  <c r="I224" i="27"/>
  <c r="H224" i="27"/>
  <c r="G224" i="27"/>
  <c r="F224" i="27"/>
  <c r="E224" i="27"/>
  <c r="D224" i="27"/>
  <c r="C224" i="27"/>
  <c r="B224" i="27"/>
  <c r="AI117" i="27"/>
  <c r="AH117" i="27"/>
  <c r="AI116" i="27"/>
  <c r="AH116" i="27"/>
  <c r="AI115" i="27"/>
  <c r="AH115" i="27"/>
  <c r="AI114" i="27"/>
  <c r="AH114" i="27"/>
  <c r="AI113" i="27"/>
  <c r="AH113" i="27"/>
  <c r="AI112" i="27"/>
  <c r="AH112" i="27"/>
  <c r="AI111" i="27"/>
  <c r="AH111" i="27"/>
  <c r="AI110" i="27"/>
  <c r="AH110" i="27"/>
  <c r="AI109" i="27"/>
  <c r="AH109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D108" i="27"/>
  <c r="C108" i="27"/>
  <c r="AI107" i="27"/>
  <c r="AH107" i="27"/>
  <c r="AI106" i="27"/>
  <c r="AH106" i="27"/>
  <c r="AI105" i="27"/>
  <c r="AH105" i="27"/>
  <c r="AI104" i="27"/>
  <c r="AH104" i="27"/>
  <c r="AI103" i="27"/>
  <c r="AH103" i="27"/>
  <c r="AI102" i="27"/>
  <c r="AH102" i="27"/>
  <c r="AI101" i="27"/>
  <c r="AH101" i="27"/>
  <c r="AI100" i="27"/>
  <c r="AH100" i="27"/>
  <c r="AI99" i="27"/>
  <c r="AH99" i="27"/>
  <c r="AI97" i="27"/>
  <c r="AH97" i="27"/>
  <c r="AI96" i="27"/>
  <c r="AH96" i="27"/>
  <c r="AI95" i="27"/>
  <c r="AH95" i="27"/>
  <c r="AI94" i="27"/>
  <c r="AH94" i="27"/>
  <c r="AI93" i="27"/>
  <c r="AH93" i="27"/>
  <c r="AI92" i="27"/>
  <c r="AH92" i="27"/>
  <c r="AI91" i="27"/>
  <c r="AH91" i="27"/>
  <c r="AI88" i="27"/>
  <c r="AH88" i="27"/>
  <c r="AI86" i="27"/>
  <c r="AH86" i="27"/>
  <c r="AG86" i="27"/>
  <c r="AI85" i="27"/>
  <c r="AH85" i="27"/>
  <c r="AI84" i="27"/>
  <c r="AH84" i="27"/>
  <c r="AI83" i="27"/>
  <c r="AH83" i="27"/>
  <c r="AN82" i="27"/>
  <c r="AG82" i="27"/>
  <c r="AF82" i="27"/>
  <c r="AE82" i="27"/>
  <c r="AE98" i="27" s="1"/>
  <c r="AD82" i="27"/>
  <c r="AD98" i="27" s="1"/>
  <c r="AC82" i="27"/>
  <c r="AB5" i="27" s="1"/>
  <c r="AB82" i="27"/>
  <c r="AB98" i="27" s="1"/>
  <c r="AA82" i="27"/>
  <c r="Z5" i="27" s="1"/>
  <c r="Z82" i="27"/>
  <c r="Y5" i="27" s="1"/>
  <c r="Y82" i="27"/>
  <c r="Y98" i="27" s="1"/>
  <c r="X82" i="27"/>
  <c r="W5" i="27" s="1"/>
  <c r="W82" i="27"/>
  <c r="W98" i="27" s="1"/>
  <c r="V82" i="27"/>
  <c r="V98" i="27" s="1"/>
  <c r="U82" i="27"/>
  <c r="U98" i="27" s="1"/>
  <c r="T82" i="27"/>
  <c r="T98" i="27" s="1"/>
  <c r="S82" i="27"/>
  <c r="R5" i="27" s="1"/>
  <c r="R82" i="27"/>
  <c r="Q5" i="27" s="1"/>
  <c r="Q82" i="27"/>
  <c r="Q98" i="27" s="1"/>
  <c r="P82" i="27"/>
  <c r="O5" i="27" s="1"/>
  <c r="O82" i="27"/>
  <c r="O98" i="27" s="1"/>
  <c r="N82" i="27"/>
  <c r="N98" i="27" s="1"/>
  <c r="M82" i="27"/>
  <c r="M98" i="27" s="1"/>
  <c r="L82" i="27"/>
  <c r="L98" i="27" s="1"/>
  <c r="K82" i="27"/>
  <c r="K98" i="27" s="1"/>
  <c r="J82" i="27"/>
  <c r="J98" i="27" s="1"/>
  <c r="I82" i="27"/>
  <c r="I98" i="27" s="1"/>
  <c r="H82" i="27"/>
  <c r="G82" i="27"/>
  <c r="F5" i="27" s="1"/>
  <c r="F82" i="27"/>
  <c r="F98" i="27" s="1"/>
  <c r="E82" i="27"/>
  <c r="E98" i="27" s="1"/>
  <c r="D82" i="27"/>
  <c r="D98" i="27" s="1"/>
  <c r="C82" i="27"/>
  <c r="C98" i="27" s="1"/>
  <c r="B82" i="27"/>
  <c r="AI81" i="27"/>
  <c r="AH81" i="27"/>
  <c r="AN80" i="27"/>
  <c r="AI80" i="27"/>
  <c r="AH80" i="27"/>
  <c r="AN79" i="27"/>
  <c r="AN81" i="27" s="1"/>
  <c r="AI79" i="27"/>
  <c r="AH79" i="27"/>
  <c r="AI78" i="27"/>
  <c r="AH78" i="27"/>
  <c r="AI77" i="27"/>
  <c r="AH77" i="27"/>
  <c r="AI76" i="27"/>
  <c r="AH76" i="27"/>
  <c r="AI75" i="27"/>
  <c r="AH75" i="27"/>
  <c r="AI74" i="27"/>
  <c r="AH74" i="27"/>
  <c r="AI73" i="27"/>
  <c r="AH73" i="27"/>
  <c r="AI72" i="27"/>
  <c r="AH72" i="27"/>
  <c r="AI71" i="27"/>
  <c r="AH71" i="27"/>
  <c r="AG70" i="27"/>
  <c r="AF70" i="27"/>
  <c r="AE70" i="27"/>
  <c r="AD70" i="27"/>
  <c r="AC70" i="27"/>
  <c r="AB70" i="27"/>
  <c r="AA70" i="27"/>
  <c r="Z70" i="27"/>
  <c r="Y70" i="27"/>
  <c r="X70" i="27"/>
  <c r="W70" i="27"/>
  <c r="V70" i="27"/>
  <c r="U70" i="27"/>
  <c r="T70" i="27"/>
  <c r="S70" i="27"/>
  <c r="R70" i="27"/>
  <c r="Q70" i="27"/>
  <c r="P70" i="27"/>
  <c r="O70" i="27"/>
  <c r="N70" i="27"/>
  <c r="M70" i="27"/>
  <c r="L70" i="27"/>
  <c r="B70" i="27"/>
  <c r="AI69" i="27"/>
  <c r="AH69" i="27"/>
  <c r="AI68" i="27"/>
  <c r="AH68" i="27"/>
  <c r="AI67" i="27"/>
  <c r="AH67" i="27"/>
  <c r="AF66" i="27"/>
  <c r="AE66" i="27"/>
  <c r="AD66" i="27"/>
  <c r="AC66" i="27"/>
  <c r="AB66" i="27"/>
  <c r="AA66" i="27"/>
  <c r="Z66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AI65" i="27"/>
  <c r="AH65" i="27"/>
  <c r="AG65" i="27"/>
  <c r="AG66" i="27" s="1"/>
  <c r="AG3" i="27" s="1"/>
  <c r="AG6" i="27" s="1"/>
  <c r="AI64" i="27"/>
  <c r="AH64" i="27"/>
  <c r="AI63" i="27"/>
  <c r="AH63" i="27"/>
  <c r="AI62" i="27"/>
  <c r="AH62" i="27"/>
  <c r="AI61" i="27"/>
  <c r="AH61" i="27"/>
  <c r="AI60" i="27"/>
  <c r="AH60" i="27"/>
  <c r="AI59" i="27"/>
  <c r="AH59" i="27"/>
  <c r="AI58" i="27"/>
  <c r="AH58" i="27"/>
  <c r="AI57" i="27"/>
  <c r="AH57" i="27"/>
  <c r="AI56" i="27"/>
  <c r="AH56" i="27"/>
  <c r="AI55" i="27"/>
  <c r="AH55" i="27"/>
  <c r="AI54" i="27"/>
  <c r="AH54" i="27"/>
  <c r="AI53" i="27"/>
  <c r="AH53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AI51" i="27"/>
  <c r="AH51" i="27"/>
  <c r="AI50" i="27"/>
  <c r="AH50" i="27"/>
  <c r="AI49" i="27"/>
  <c r="AH49" i="27"/>
  <c r="AG48" i="27"/>
  <c r="AG87" i="27" s="1"/>
  <c r="AF48" i="27"/>
  <c r="AE48" i="27"/>
  <c r="AD48" i="27"/>
  <c r="AC48" i="27"/>
  <c r="AB48" i="27"/>
  <c r="AA48" i="27"/>
  <c r="Z48" i="27"/>
  <c r="Y48" i="27"/>
  <c r="X48" i="27"/>
  <c r="W48" i="27"/>
  <c r="V48" i="27"/>
  <c r="U48" i="27"/>
  <c r="T48" i="27"/>
  <c r="S48" i="27"/>
  <c r="R48" i="27"/>
  <c r="Q48" i="27"/>
  <c r="P48" i="27"/>
  <c r="O48" i="27"/>
  <c r="N48" i="27"/>
  <c r="M48" i="27"/>
  <c r="L48" i="27"/>
  <c r="K48" i="27"/>
  <c r="J48" i="27"/>
  <c r="I48" i="27"/>
  <c r="H48" i="27"/>
  <c r="G48" i="27"/>
  <c r="F48" i="27"/>
  <c r="E48" i="27"/>
  <c r="D48" i="27"/>
  <c r="C48" i="27"/>
  <c r="B48" i="27"/>
  <c r="AI47" i="27"/>
  <c r="AH47" i="27"/>
  <c r="AI46" i="27"/>
  <c r="AH46" i="27"/>
  <c r="AI45" i="27"/>
  <c r="AH45" i="27"/>
  <c r="AI44" i="27"/>
  <c r="AH44" i="27"/>
  <c r="AI43" i="27"/>
  <c r="AH43" i="27"/>
  <c r="AI42" i="27"/>
  <c r="AH42" i="27"/>
  <c r="AI41" i="27"/>
  <c r="AH41" i="27"/>
  <c r="AI40" i="27"/>
  <c r="AH40" i="27"/>
  <c r="AI39" i="27"/>
  <c r="AH39" i="27"/>
  <c r="AI38" i="27"/>
  <c r="AH38" i="27"/>
  <c r="AI37" i="27"/>
  <c r="AH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L5" i="27"/>
  <c r="AG4" i="27"/>
  <c r="K4" i="27"/>
  <c r="E4" i="27"/>
  <c r="H4" i="27" s="1"/>
  <c r="B4" i="27"/>
  <c r="S243" i="27" s="1"/>
  <c r="AG2" i="27"/>
  <c r="AB82" i="26"/>
  <c r="AA111" i="26"/>
  <c r="AA48" i="26"/>
  <c r="AA52" i="26"/>
  <c r="AA66" i="26"/>
  <c r="AA70" i="26"/>
  <c r="AA82" i="26"/>
  <c r="AA98" i="26" s="1"/>
  <c r="AA108" i="26"/>
  <c r="Z111" i="26"/>
  <c r="Y111" i="26"/>
  <c r="X111" i="26"/>
  <c r="X48" i="26"/>
  <c r="X52" i="26"/>
  <c r="X66" i="26"/>
  <c r="X70" i="26"/>
  <c r="X82" i="26"/>
  <c r="X98" i="26" s="1"/>
  <c r="W111" i="26"/>
  <c r="V108" i="26"/>
  <c r="W108" i="26"/>
  <c r="V111" i="26"/>
  <c r="V66" i="26"/>
  <c r="V70" i="26"/>
  <c r="U111" i="26"/>
  <c r="T111" i="26"/>
  <c r="T48" i="26"/>
  <c r="S111" i="26"/>
  <c r="N226" i="31" l="1"/>
  <c r="M108" i="31"/>
  <c r="K267" i="31"/>
  <c r="M231" i="31"/>
  <c r="K227" i="30"/>
  <c r="M226" i="30"/>
  <c r="J267" i="30"/>
  <c r="L231" i="30"/>
  <c r="J108" i="29"/>
  <c r="K226" i="29"/>
  <c r="K231" i="29"/>
  <c r="I267" i="29"/>
  <c r="N226" i="28"/>
  <c r="M108" i="28"/>
  <c r="M267" i="28"/>
  <c r="O231" i="28"/>
  <c r="AF87" i="27"/>
  <c r="AF89" i="27" s="1"/>
  <c r="AD5" i="27"/>
  <c r="AE87" i="27"/>
  <c r="AE89" i="27" s="1"/>
  <c r="AC5" i="27"/>
  <c r="AD87" i="27"/>
  <c r="AD89" i="27" s="1"/>
  <c r="AC98" i="27"/>
  <c r="AC87" i="27"/>
  <c r="AC89" i="27" s="1"/>
  <c r="AB87" i="27"/>
  <c r="AB89" i="27" s="1"/>
  <c r="AA98" i="27"/>
  <c r="AA87" i="27"/>
  <c r="AA89" i="27" s="1"/>
  <c r="Z98" i="27"/>
  <c r="Z87" i="27"/>
  <c r="Z89" i="27" s="1"/>
  <c r="X5" i="27"/>
  <c r="Y87" i="27"/>
  <c r="Y89" i="27" s="1"/>
  <c r="V87" i="27"/>
  <c r="V89" i="27" s="1"/>
  <c r="U5" i="27"/>
  <c r="V5" i="27"/>
  <c r="W87" i="27"/>
  <c r="W89" i="27" s="1"/>
  <c r="T5" i="27"/>
  <c r="T87" i="27"/>
  <c r="T89" i="27" s="1"/>
  <c r="U87" i="27"/>
  <c r="U89" i="27" s="1"/>
  <c r="U7" i="27" s="1"/>
  <c r="S98" i="27"/>
  <c r="S87" i="27"/>
  <c r="S89" i="27" s="1"/>
  <c r="R98" i="27"/>
  <c r="R87" i="27"/>
  <c r="R89" i="27" s="1"/>
  <c r="P5" i="27"/>
  <c r="Q87" i="27"/>
  <c r="Q89" i="27" s="1"/>
  <c r="N5" i="27"/>
  <c r="O87" i="27"/>
  <c r="O89" i="27" s="1"/>
  <c r="AG246" i="27" s="1"/>
  <c r="M5" i="27"/>
  <c r="N87" i="27"/>
  <c r="N89" i="27" s="1"/>
  <c r="M87" i="27"/>
  <c r="M89" i="27" s="1"/>
  <c r="M7" i="27" s="1"/>
  <c r="AI70" i="27"/>
  <c r="L87" i="27"/>
  <c r="L89" i="27" s="1"/>
  <c r="L7" i="27" s="1"/>
  <c r="J5" i="27"/>
  <c r="K87" i="27"/>
  <c r="K89" i="27" s="1"/>
  <c r="K7" i="27" s="1"/>
  <c r="I5" i="27"/>
  <c r="J87" i="27"/>
  <c r="J89" i="27" s="1"/>
  <c r="J7" i="27" s="1"/>
  <c r="H5" i="27"/>
  <c r="I87" i="27"/>
  <c r="I89" i="27" s="1"/>
  <c r="I90" i="27" s="1"/>
  <c r="H87" i="27"/>
  <c r="H89" i="27" s="1"/>
  <c r="H90" i="27" s="1"/>
  <c r="G98" i="27"/>
  <c r="G87" i="27"/>
  <c r="G89" i="27" s="1"/>
  <c r="Y246" i="27" s="1"/>
  <c r="E5" i="27"/>
  <c r="F87" i="27"/>
  <c r="F89" i="27" s="1"/>
  <c r="F90" i="27" s="1"/>
  <c r="D5" i="27"/>
  <c r="E87" i="27"/>
  <c r="E89" i="27" s="1"/>
  <c r="W246" i="27" s="1"/>
  <c r="D87" i="27"/>
  <c r="D89" i="27" s="1"/>
  <c r="D7" i="27" s="1"/>
  <c r="AI66" i="27"/>
  <c r="AH82" i="27"/>
  <c r="B5" i="27"/>
  <c r="AH52" i="27"/>
  <c r="AF5" i="27"/>
  <c r="B98" i="27"/>
  <c r="AI82" i="27"/>
  <c r="B87" i="27"/>
  <c r="B89" i="27" s="1"/>
  <c r="AI52" i="27"/>
  <c r="AI48" i="27"/>
  <c r="AB90" i="27"/>
  <c r="AB7" i="27"/>
  <c r="AT246" i="27"/>
  <c r="AM246" i="27"/>
  <c r="Y90" i="27"/>
  <c r="Y7" i="27"/>
  <c r="AQ246" i="27"/>
  <c r="R90" i="27"/>
  <c r="R7" i="27"/>
  <c r="AJ246" i="27"/>
  <c r="Z90" i="27"/>
  <c r="Z7" i="27"/>
  <c r="AR246" i="27"/>
  <c r="Q90" i="27"/>
  <c r="Q7" i="27"/>
  <c r="AI246" i="27"/>
  <c r="S90" i="27"/>
  <c r="S7" i="27"/>
  <c r="AK246" i="27"/>
  <c r="AA90" i="27"/>
  <c r="AA7" i="27"/>
  <c r="AS246" i="27"/>
  <c r="T90" i="27"/>
  <c r="AL246" i="27"/>
  <c r="T7" i="27"/>
  <c r="F108" i="27"/>
  <c r="AC7" i="27"/>
  <c r="AU246" i="27"/>
  <c r="AC90" i="27"/>
  <c r="AF90" i="27"/>
  <c r="AX246" i="27"/>
  <c r="AF7" i="27"/>
  <c r="J229" i="27"/>
  <c r="K229" i="27" s="1"/>
  <c r="L229" i="27" s="1"/>
  <c r="M229" i="27" s="1"/>
  <c r="N229" i="27" s="1"/>
  <c r="O229" i="27" s="1"/>
  <c r="P229" i="27" s="1"/>
  <c r="AF246" i="27"/>
  <c r="N90" i="27"/>
  <c r="N7" i="27"/>
  <c r="V7" i="27"/>
  <c r="AN246" i="27"/>
  <c r="V90" i="27"/>
  <c r="AV246" i="27"/>
  <c r="AD90" i="27"/>
  <c r="AD7" i="27"/>
  <c r="AG89" i="27"/>
  <c r="I226" i="27"/>
  <c r="AW246" i="27"/>
  <c r="AE90" i="27"/>
  <c r="AE7" i="27"/>
  <c r="AO246" i="27"/>
  <c r="W90" i="27"/>
  <c r="W7" i="27"/>
  <c r="P87" i="27"/>
  <c r="P89" i="27" s="1"/>
  <c r="AH70" i="27"/>
  <c r="C87" i="27"/>
  <c r="C89" i="27" s="1"/>
  <c r="E232" i="27"/>
  <c r="D243" i="27"/>
  <c r="F232" i="27"/>
  <c r="AH66" i="27"/>
  <c r="C5" i="27"/>
  <c r="K5" i="27"/>
  <c r="S5" i="27"/>
  <c r="AA5" i="27"/>
  <c r="H98" i="27"/>
  <c r="P98" i="27"/>
  <c r="X98" i="27"/>
  <c r="AF98" i="27"/>
  <c r="E108" i="27"/>
  <c r="F231" i="27"/>
  <c r="AH48" i="27"/>
  <c r="X87" i="27"/>
  <c r="X89" i="27" s="1"/>
  <c r="G5" i="27"/>
  <c r="AE5" i="27"/>
  <c r="AA87" i="26"/>
  <c r="AA89" i="26" s="1"/>
  <c r="AA90" i="26" s="1"/>
  <c r="X87" i="26"/>
  <c r="X89" i="26" s="1"/>
  <c r="X90" i="26" s="1"/>
  <c r="L111" i="26"/>
  <c r="K111" i="26"/>
  <c r="J111" i="26"/>
  <c r="I111" i="26"/>
  <c r="I48" i="26"/>
  <c r="H111" i="26"/>
  <c r="G48" i="26"/>
  <c r="H48" i="26"/>
  <c r="G52" i="26"/>
  <c r="H52" i="26"/>
  <c r="G66" i="26"/>
  <c r="H66" i="26"/>
  <c r="G82" i="26"/>
  <c r="G98" i="26" s="1"/>
  <c r="H82" i="26"/>
  <c r="H98" i="26" s="1"/>
  <c r="G111" i="26"/>
  <c r="G108" i="26" s="1"/>
  <c r="H108" i="26"/>
  <c r="F111" i="26"/>
  <c r="E111" i="26"/>
  <c r="AF271" i="26"/>
  <c r="AE271" i="26"/>
  <c r="AD271" i="26"/>
  <c r="AC271" i="26"/>
  <c r="AB271" i="26"/>
  <c r="AA271" i="26"/>
  <c r="Z271" i="26"/>
  <c r="Y271" i="26"/>
  <c r="X271" i="26"/>
  <c r="W271" i="26"/>
  <c r="V271" i="26"/>
  <c r="U271" i="26"/>
  <c r="T271" i="26"/>
  <c r="S271" i="26"/>
  <c r="R271" i="26"/>
  <c r="Q271" i="26"/>
  <c r="P271" i="26"/>
  <c r="O271" i="26"/>
  <c r="N271" i="26"/>
  <c r="M271" i="26"/>
  <c r="L271" i="26"/>
  <c r="K271" i="26"/>
  <c r="J271" i="26"/>
  <c r="I271" i="26"/>
  <c r="H271" i="26"/>
  <c r="G271" i="26"/>
  <c r="F271" i="26"/>
  <c r="E271" i="26"/>
  <c r="D271" i="26"/>
  <c r="C271" i="26"/>
  <c r="B271" i="26"/>
  <c r="A271" i="26"/>
  <c r="AF270" i="26"/>
  <c r="AE270" i="26"/>
  <c r="AD270" i="26"/>
  <c r="AC270" i="26"/>
  <c r="AB270" i="26"/>
  <c r="AA270" i="26"/>
  <c r="Z270" i="26"/>
  <c r="Y270" i="26"/>
  <c r="X270" i="26"/>
  <c r="W270" i="26"/>
  <c r="V270" i="26"/>
  <c r="U270" i="26"/>
  <c r="T270" i="26"/>
  <c r="S270" i="26"/>
  <c r="R270" i="26"/>
  <c r="Q270" i="26"/>
  <c r="P270" i="26"/>
  <c r="O270" i="26"/>
  <c r="N270" i="26"/>
  <c r="M270" i="26"/>
  <c r="L270" i="26"/>
  <c r="K270" i="26"/>
  <c r="J270" i="26"/>
  <c r="I270" i="26"/>
  <c r="H270" i="26"/>
  <c r="G270" i="26"/>
  <c r="F270" i="26"/>
  <c r="E270" i="26"/>
  <c r="D270" i="26"/>
  <c r="C270" i="26"/>
  <c r="B270" i="26"/>
  <c r="A270" i="26"/>
  <c r="AF269" i="26"/>
  <c r="AE269" i="26"/>
  <c r="AD269" i="26"/>
  <c r="AC269" i="26"/>
  <c r="AB269" i="26"/>
  <c r="AA269" i="26"/>
  <c r="Z269" i="26"/>
  <c r="Y269" i="26"/>
  <c r="X269" i="26"/>
  <c r="W269" i="26"/>
  <c r="V269" i="26"/>
  <c r="U269" i="26"/>
  <c r="T269" i="26"/>
  <c r="S269" i="26"/>
  <c r="R269" i="26"/>
  <c r="Q269" i="26"/>
  <c r="P269" i="26"/>
  <c r="O269" i="26"/>
  <c r="N269" i="26"/>
  <c r="M269" i="26"/>
  <c r="L269" i="26"/>
  <c r="K269" i="26"/>
  <c r="J269" i="26"/>
  <c r="I269" i="26"/>
  <c r="H269" i="26"/>
  <c r="G269" i="26"/>
  <c r="F269" i="26"/>
  <c r="E269" i="26"/>
  <c r="D269" i="26"/>
  <c r="C269" i="26"/>
  <c r="B269" i="26"/>
  <c r="A269" i="26"/>
  <c r="AF268" i="26"/>
  <c r="AE268" i="26"/>
  <c r="AD268" i="26"/>
  <c r="AC268" i="26"/>
  <c r="AB268" i="26"/>
  <c r="AA268" i="26"/>
  <c r="Z268" i="26"/>
  <c r="Y268" i="26"/>
  <c r="X268" i="26"/>
  <c r="W268" i="26"/>
  <c r="V268" i="26"/>
  <c r="U268" i="26"/>
  <c r="T268" i="26"/>
  <c r="S268" i="26"/>
  <c r="R268" i="26"/>
  <c r="Q268" i="26"/>
  <c r="P268" i="26"/>
  <c r="O268" i="26"/>
  <c r="N268" i="26"/>
  <c r="M268" i="26"/>
  <c r="L268" i="26"/>
  <c r="K268" i="26"/>
  <c r="J268" i="26"/>
  <c r="I268" i="26"/>
  <c r="H268" i="26"/>
  <c r="G268" i="26"/>
  <c r="F268" i="26"/>
  <c r="E268" i="26"/>
  <c r="D268" i="26"/>
  <c r="C268" i="26"/>
  <c r="B268" i="26"/>
  <c r="A268" i="26"/>
  <c r="AE267" i="26"/>
  <c r="AD267" i="26"/>
  <c r="AC267" i="26"/>
  <c r="AB267" i="26"/>
  <c r="AA267" i="26"/>
  <c r="Z267" i="26"/>
  <c r="Y267" i="26"/>
  <c r="X267" i="26"/>
  <c r="W267" i="26"/>
  <c r="V267" i="26"/>
  <c r="U267" i="26"/>
  <c r="T267" i="26"/>
  <c r="S267" i="26"/>
  <c r="R267" i="26"/>
  <c r="Q267" i="26"/>
  <c r="P267" i="26"/>
  <c r="B267" i="26"/>
  <c r="S242" i="26"/>
  <c r="AG232" i="26"/>
  <c r="AF232" i="26"/>
  <c r="AE232" i="26"/>
  <c r="AD232" i="26"/>
  <c r="AC232" i="26"/>
  <c r="AB232" i="26"/>
  <c r="AA232" i="26"/>
  <c r="Z232" i="26"/>
  <c r="Y232" i="26"/>
  <c r="X232" i="26"/>
  <c r="W232" i="26"/>
  <c r="V232" i="26"/>
  <c r="U232" i="26"/>
  <c r="T232" i="26"/>
  <c r="S232" i="26"/>
  <c r="R232" i="26"/>
  <c r="Q232" i="26"/>
  <c r="C232" i="26"/>
  <c r="D231" i="26"/>
  <c r="C267" i="26" s="1"/>
  <c r="B231" i="26"/>
  <c r="AF267" i="26" s="1"/>
  <c r="D230" i="26"/>
  <c r="E230" i="26" s="1"/>
  <c r="F230" i="26" s="1"/>
  <c r="G230" i="26" s="1"/>
  <c r="H230" i="26" s="1"/>
  <c r="I230" i="26" s="1"/>
  <c r="J230" i="26" s="1"/>
  <c r="K230" i="26" s="1"/>
  <c r="L230" i="26" s="1"/>
  <c r="M230" i="26" s="1"/>
  <c r="N230" i="26" s="1"/>
  <c r="O230" i="26" s="1"/>
  <c r="P230" i="26" s="1"/>
  <c r="B230" i="26"/>
  <c r="D229" i="26"/>
  <c r="E229" i="26" s="1"/>
  <c r="F229" i="26" s="1"/>
  <c r="G229" i="26" s="1"/>
  <c r="H229" i="26" s="1"/>
  <c r="I229" i="26" s="1"/>
  <c r="B229" i="26"/>
  <c r="F228" i="26"/>
  <c r="G228" i="26" s="1"/>
  <c r="H228" i="26" s="1"/>
  <c r="E228" i="26"/>
  <c r="D228" i="26"/>
  <c r="B228" i="26"/>
  <c r="D227" i="26"/>
  <c r="D232" i="26" s="1"/>
  <c r="B227" i="26"/>
  <c r="D226" i="26"/>
  <c r="E226" i="26" s="1"/>
  <c r="B226" i="26"/>
  <c r="B232" i="26" s="1"/>
  <c r="AG224" i="26"/>
  <c r="AF224" i="26"/>
  <c r="AE224" i="26"/>
  <c r="AD224" i="26"/>
  <c r="AC224" i="26"/>
  <c r="AB224" i="26"/>
  <c r="AA224" i="26"/>
  <c r="Z224" i="26"/>
  <c r="Y224" i="26"/>
  <c r="X224" i="26"/>
  <c r="W224" i="26"/>
  <c r="V224" i="26"/>
  <c r="U224" i="26"/>
  <c r="T224" i="26"/>
  <c r="S224" i="26"/>
  <c r="R224" i="26"/>
  <c r="Q224" i="26"/>
  <c r="P224" i="26"/>
  <c r="O224" i="26"/>
  <c r="N224" i="26"/>
  <c r="M224" i="26"/>
  <c r="L224" i="26"/>
  <c r="K224" i="26"/>
  <c r="J224" i="26"/>
  <c r="I224" i="26"/>
  <c r="H224" i="26"/>
  <c r="G224" i="26"/>
  <c r="F224" i="26"/>
  <c r="E224" i="26"/>
  <c r="D224" i="26"/>
  <c r="C224" i="26"/>
  <c r="B224" i="26"/>
  <c r="AI117" i="26"/>
  <c r="AH117" i="26"/>
  <c r="AI116" i="26"/>
  <c r="AH116" i="26"/>
  <c r="AI115" i="26"/>
  <c r="AH115" i="26"/>
  <c r="AI114" i="26"/>
  <c r="AH114" i="26"/>
  <c r="AI113" i="26"/>
  <c r="AH113" i="26"/>
  <c r="AI112" i="26"/>
  <c r="AH112" i="26"/>
  <c r="AI110" i="26"/>
  <c r="AH110" i="26"/>
  <c r="AI109" i="26"/>
  <c r="AH109" i="26"/>
  <c r="AF108" i="26"/>
  <c r="AE108" i="26"/>
  <c r="AD108" i="26"/>
  <c r="AC108" i="26"/>
  <c r="AB108" i="26"/>
  <c r="Z108" i="26"/>
  <c r="Y108" i="26"/>
  <c r="X108" i="26"/>
  <c r="U108" i="26"/>
  <c r="T108" i="26"/>
  <c r="S108" i="26"/>
  <c r="R108" i="26"/>
  <c r="Q108" i="26"/>
  <c r="C108" i="26"/>
  <c r="B108" i="26"/>
  <c r="AI107" i="26"/>
  <c r="AH107" i="26"/>
  <c r="AI106" i="26"/>
  <c r="AH106" i="26"/>
  <c r="AI105" i="26"/>
  <c r="AH105" i="26"/>
  <c r="AI104" i="26"/>
  <c r="AH104" i="26"/>
  <c r="AI103" i="26"/>
  <c r="AH103" i="26"/>
  <c r="AI102" i="26"/>
  <c r="AH102" i="26"/>
  <c r="AI101" i="26"/>
  <c r="AH101" i="26"/>
  <c r="AI100" i="26"/>
  <c r="AH100" i="26"/>
  <c r="AI99" i="26"/>
  <c r="AH99" i="26"/>
  <c r="AI97" i="26"/>
  <c r="AH97" i="26"/>
  <c r="AI96" i="26"/>
  <c r="AH96" i="26"/>
  <c r="AI95" i="26"/>
  <c r="AH95" i="26"/>
  <c r="AI94" i="26"/>
  <c r="AH94" i="26"/>
  <c r="AI93" i="26"/>
  <c r="AH93" i="26"/>
  <c r="AI92" i="26"/>
  <c r="AH92" i="26"/>
  <c r="AI91" i="26"/>
  <c r="AH91" i="26"/>
  <c r="AI88" i="26"/>
  <c r="AH88" i="26"/>
  <c r="AI86" i="26"/>
  <c r="AH86" i="26"/>
  <c r="AG86" i="26"/>
  <c r="AG89" i="26" s="1"/>
  <c r="AI85" i="26"/>
  <c r="AH85" i="26"/>
  <c r="AI84" i="26"/>
  <c r="AH84" i="26"/>
  <c r="AI83" i="26"/>
  <c r="AH83" i="26"/>
  <c r="AN82" i="26"/>
  <c r="AG82" i="26"/>
  <c r="AF82" i="26"/>
  <c r="AF98" i="26" s="1"/>
  <c r="AE82" i="26"/>
  <c r="AD5" i="26" s="1"/>
  <c r="AD82" i="26"/>
  <c r="AD98" i="26" s="1"/>
  <c r="AC82" i="26"/>
  <c r="AC98" i="26" s="1"/>
  <c r="AB98" i="26"/>
  <c r="Z82" i="26"/>
  <c r="Z98" i="26" s="1"/>
  <c r="Y82" i="26"/>
  <c r="Y98" i="26" s="1"/>
  <c r="W82" i="26"/>
  <c r="V5" i="26" s="1"/>
  <c r="V82" i="26"/>
  <c r="V98" i="26" s="1"/>
  <c r="U82" i="26"/>
  <c r="U98" i="26" s="1"/>
  <c r="T82" i="26"/>
  <c r="T98" i="26" s="1"/>
  <c r="S82" i="26"/>
  <c r="S98" i="26" s="1"/>
  <c r="R82" i="26"/>
  <c r="R98" i="26" s="1"/>
  <c r="Q82" i="26"/>
  <c r="Q98" i="26" s="1"/>
  <c r="P82" i="26"/>
  <c r="P98" i="26" s="1"/>
  <c r="O82" i="26"/>
  <c r="N5" i="26" s="1"/>
  <c r="N82" i="26"/>
  <c r="N98" i="26" s="1"/>
  <c r="M82" i="26"/>
  <c r="M98" i="26" s="1"/>
  <c r="L82" i="26"/>
  <c r="L98" i="26" s="1"/>
  <c r="K82" i="26"/>
  <c r="K98" i="26" s="1"/>
  <c r="J82" i="26"/>
  <c r="J98" i="26" s="1"/>
  <c r="I82" i="26"/>
  <c r="I98" i="26" s="1"/>
  <c r="F82" i="26"/>
  <c r="F98" i="26" s="1"/>
  <c r="E82" i="26"/>
  <c r="E98" i="26" s="1"/>
  <c r="D82" i="26"/>
  <c r="D98" i="26" s="1"/>
  <c r="C82" i="26"/>
  <c r="C98" i="26" s="1"/>
  <c r="B82" i="26"/>
  <c r="B98" i="26" s="1"/>
  <c r="AI81" i="26"/>
  <c r="AH81" i="26"/>
  <c r="AN80" i="26"/>
  <c r="AI80" i="26"/>
  <c r="AH80" i="26"/>
  <c r="AN79" i="26"/>
  <c r="AN81" i="26" s="1"/>
  <c r="AI79" i="26"/>
  <c r="AH79" i="26"/>
  <c r="AI78" i="26"/>
  <c r="AH78" i="26"/>
  <c r="AI77" i="26"/>
  <c r="AH77" i="26"/>
  <c r="AI76" i="26"/>
  <c r="AH76" i="26"/>
  <c r="AI75" i="26"/>
  <c r="AH75" i="26"/>
  <c r="AI74" i="26"/>
  <c r="AH74" i="26"/>
  <c r="AI73" i="26"/>
  <c r="AH73" i="26"/>
  <c r="AI72" i="26"/>
  <c r="AH72" i="26"/>
  <c r="AI71" i="26"/>
  <c r="AH71" i="26"/>
  <c r="AG70" i="26"/>
  <c r="AF70" i="26"/>
  <c r="AE70" i="26"/>
  <c r="AD70" i="26"/>
  <c r="AC70" i="26"/>
  <c r="AB70" i="26"/>
  <c r="Z70" i="26"/>
  <c r="Y70" i="26"/>
  <c r="W70" i="26"/>
  <c r="U70" i="26"/>
  <c r="T70" i="26"/>
  <c r="S70" i="26"/>
  <c r="R70" i="26"/>
  <c r="Q70" i="26"/>
  <c r="P70" i="26"/>
  <c r="O70" i="26"/>
  <c r="N70" i="26"/>
  <c r="M70" i="26"/>
  <c r="L70" i="26"/>
  <c r="B70" i="26"/>
  <c r="AI69" i="26"/>
  <c r="AH69" i="26"/>
  <c r="AI68" i="26"/>
  <c r="AH68" i="26"/>
  <c r="AI67" i="26"/>
  <c r="AH67" i="26"/>
  <c r="AG66" i="26"/>
  <c r="AG3" i="26" s="1"/>
  <c r="AF66" i="26"/>
  <c r="AE66" i="26"/>
  <c r="AD66" i="26"/>
  <c r="AC66" i="26"/>
  <c r="AB66" i="26"/>
  <c r="Z66" i="26"/>
  <c r="Y66" i="26"/>
  <c r="W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F66" i="26"/>
  <c r="E66" i="26"/>
  <c r="D66" i="26"/>
  <c r="C66" i="26"/>
  <c r="B66" i="26"/>
  <c r="AI65" i="26"/>
  <c r="AH65" i="26"/>
  <c r="AG65" i="26"/>
  <c r="AI64" i="26"/>
  <c r="AH64" i="26"/>
  <c r="AI63" i="26"/>
  <c r="AH63" i="26"/>
  <c r="AI62" i="26"/>
  <c r="AH62" i="26"/>
  <c r="AI61" i="26"/>
  <c r="AH61" i="26"/>
  <c r="AI60" i="26"/>
  <c r="AH60" i="26"/>
  <c r="AI59" i="26"/>
  <c r="AH59" i="26"/>
  <c r="AI58" i="26"/>
  <c r="AH58" i="26"/>
  <c r="AI57" i="26"/>
  <c r="AH57" i="26"/>
  <c r="AI56" i="26"/>
  <c r="AH56" i="26"/>
  <c r="AI55" i="26"/>
  <c r="AH55" i="26"/>
  <c r="AI54" i="26"/>
  <c r="AH54" i="26"/>
  <c r="AI53" i="26"/>
  <c r="AH53" i="26"/>
  <c r="AG52" i="26"/>
  <c r="AF52" i="26"/>
  <c r="AE52" i="26"/>
  <c r="AD52" i="26"/>
  <c r="AC52" i="26"/>
  <c r="AB52" i="26"/>
  <c r="Z52" i="26"/>
  <c r="Y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F52" i="26"/>
  <c r="E52" i="26"/>
  <c r="D52" i="26"/>
  <c r="C52" i="26"/>
  <c r="B52" i="26"/>
  <c r="AI51" i="26"/>
  <c r="AH51" i="26"/>
  <c r="AI50" i="26"/>
  <c r="AH50" i="26"/>
  <c r="AI49" i="26"/>
  <c r="AH49" i="26"/>
  <c r="AG48" i="26"/>
  <c r="AG87" i="26" s="1"/>
  <c r="AF48" i="26"/>
  <c r="AE48" i="26"/>
  <c r="AE87" i="26" s="1"/>
  <c r="AE89" i="26" s="1"/>
  <c r="AD48" i="26"/>
  <c r="AC48" i="26"/>
  <c r="AB48" i="26"/>
  <c r="Z48" i="26"/>
  <c r="Y48" i="26"/>
  <c r="W48" i="26"/>
  <c r="V48" i="26"/>
  <c r="V87" i="26" s="1"/>
  <c r="V89" i="26" s="1"/>
  <c r="U48" i="26"/>
  <c r="S48" i="26"/>
  <c r="R48" i="26"/>
  <c r="Q48" i="26"/>
  <c r="P48" i="26"/>
  <c r="O48" i="26"/>
  <c r="N48" i="26"/>
  <c r="M48" i="26"/>
  <c r="L48" i="26"/>
  <c r="K48" i="26"/>
  <c r="J48" i="26"/>
  <c r="F48" i="26"/>
  <c r="E48" i="26"/>
  <c r="D48" i="26"/>
  <c r="C48" i="26"/>
  <c r="B48" i="26"/>
  <c r="AI47" i="26"/>
  <c r="AH47" i="26"/>
  <c r="AI46" i="26"/>
  <c r="AH46" i="26"/>
  <c r="AI45" i="26"/>
  <c r="AH45" i="26"/>
  <c r="AI44" i="26"/>
  <c r="AH44" i="26"/>
  <c r="AI43" i="26"/>
  <c r="AH43" i="26"/>
  <c r="AI42" i="26"/>
  <c r="AH42" i="26"/>
  <c r="AI41" i="26"/>
  <c r="AH41" i="26"/>
  <c r="AI40" i="26"/>
  <c r="AH40" i="26"/>
  <c r="AI39" i="26"/>
  <c r="AH39" i="26"/>
  <c r="AI38" i="26"/>
  <c r="AH38" i="26"/>
  <c r="AI37" i="26"/>
  <c r="AH37" i="26"/>
  <c r="AI36" i="26"/>
  <c r="AH36" i="26"/>
  <c r="AI35" i="26"/>
  <c r="AH35" i="26"/>
  <c r="AI34" i="26"/>
  <c r="AH34" i="26"/>
  <c r="AI33" i="26"/>
  <c r="AH33" i="26"/>
  <c r="AI32" i="26"/>
  <c r="AH32" i="26"/>
  <c r="AI31" i="26"/>
  <c r="AH31" i="26"/>
  <c r="AI30" i="26"/>
  <c r="AH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I23" i="26"/>
  <c r="AH23" i="26"/>
  <c r="AI22" i="26"/>
  <c r="AH22" i="26"/>
  <c r="AI21" i="26"/>
  <c r="AH21" i="26"/>
  <c r="AI20" i="26"/>
  <c r="AH20" i="26"/>
  <c r="AI19" i="26"/>
  <c r="AH19" i="26"/>
  <c r="AI18" i="26"/>
  <c r="AH18" i="26"/>
  <c r="AI17" i="26"/>
  <c r="AH17" i="26"/>
  <c r="AI16" i="26"/>
  <c r="AH16" i="26"/>
  <c r="AI15" i="26"/>
  <c r="AH15" i="26"/>
  <c r="AI14" i="26"/>
  <c r="AH14" i="26"/>
  <c r="AI13" i="26"/>
  <c r="AH13" i="26"/>
  <c r="AI12" i="26"/>
  <c r="AH12" i="26"/>
  <c r="AI11" i="26"/>
  <c r="AH11" i="26"/>
  <c r="AC5" i="26"/>
  <c r="Z5" i="26"/>
  <c r="Y5" i="26"/>
  <c r="X5" i="26"/>
  <c r="W5" i="26"/>
  <c r="K5" i="26"/>
  <c r="G5" i="26"/>
  <c r="AG4" i="26"/>
  <c r="K4" i="26"/>
  <c r="E4" i="26"/>
  <c r="H4" i="26" s="1"/>
  <c r="B4" i="26"/>
  <c r="D243" i="26" s="1"/>
  <c r="AG2" i="26"/>
  <c r="AB111" i="25"/>
  <c r="L267" i="31" l="1"/>
  <c r="N231" i="31"/>
  <c r="O226" i="31"/>
  <c r="N108" i="31"/>
  <c r="K267" i="30"/>
  <c r="M231" i="30"/>
  <c r="N226" i="30"/>
  <c r="M108" i="30"/>
  <c r="L108" i="30"/>
  <c r="L227" i="30"/>
  <c r="J267" i="29"/>
  <c r="L231" i="29"/>
  <c r="L226" i="29"/>
  <c r="K108" i="29"/>
  <c r="P231" i="28"/>
  <c r="O267" i="28" s="1"/>
  <c r="N267" i="28"/>
  <c r="N108" i="28"/>
  <c r="O226" i="28"/>
  <c r="U90" i="27"/>
  <c r="O90" i="27"/>
  <c r="O7" i="27"/>
  <c r="L90" i="27"/>
  <c r="H7" i="27"/>
  <c r="G7" i="27"/>
  <c r="G90" i="27"/>
  <c r="X246" i="27"/>
  <c r="I87" i="26"/>
  <c r="I89" i="26" s="1"/>
  <c r="M90" i="27"/>
  <c r="AE246" i="27"/>
  <c r="F7" i="27"/>
  <c r="K90" i="27"/>
  <c r="AD246" i="27"/>
  <c r="V246" i="27"/>
  <c r="Z246" i="27"/>
  <c r="J90" i="27"/>
  <c r="D90" i="27"/>
  <c r="AC246" i="27"/>
  <c r="AB246" i="27"/>
  <c r="B241" i="27"/>
  <c r="C241" i="27"/>
  <c r="I7" i="27"/>
  <c r="AA246" i="27"/>
  <c r="AH98" i="27"/>
  <c r="E90" i="27"/>
  <c r="E7" i="27"/>
  <c r="J226" i="27"/>
  <c r="AI98" i="27"/>
  <c r="AI87" i="27"/>
  <c r="AH87" i="27"/>
  <c r="C90" i="27"/>
  <c r="C7" i="27"/>
  <c r="U246" i="27"/>
  <c r="X7" i="27"/>
  <c r="X90" i="27"/>
  <c r="AP246" i="27"/>
  <c r="AI89" i="27"/>
  <c r="AH89" i="27"/>
  <c r="B7" i="27"/>
  <c r="T246" i="27"/>
  <c r="B90" i="27"/>
  <c r="E267" i="27"/>
  <c r="G231" i="27"/>
  <c r="P90" i="27"/>
  <c r="P7" i="27"/>
  <c r="AH246" i="27"/>
  <c r="AE5" i="26"/>
  <c r="AF87" i="26"/>
  <c r="AF89" i="26" s="1"/>
  <c r="AD87" i="26"/>
  <c r="AD89" i="26" s="1"/>
  <c r="AD90" i="26" s="1"/>
  <c r="AB5" i="26"/>
  <c r="AC87" i="26"/>
  <c r="AC89" i="26" s="1"/>
  <c r="AA5" i="26"/>
  <c r="AB87" i="26"/>
  <c r="AB89" i="26" s="1"/>
  <c r="AB7" i="26" s="1"/>
  <c r="Z87" i="26"/>
  <c r="Z89" i="26" s="1"/>
  <c r="Y87" i="26"/>
  <c r="Y89" i="26" s="1"/>
  <c r="W87" i="26"/>
  <c r="W89" i="26" s="1"/>
  <c r="U5" i="26"/>
  <c r="S5" i="26"/>
  <c r="AH70" i="26"/>
  <c r="T87" i="26"/>
  <c r="T89" i="26" s="1"/>
  <c r="T90" i="26" s="1"/>
  <c r="R5" i="26"/>
  <c r="S87" i="26"/>
  <c r="S89" i="26" s="1"/>
  <c r="Q5" i="26"/>
  <c r="R87" i="26"/>
  <c r="R89" i="26" s="1"/>
  <c r="P5" i="26"/>
  <c r="Q87" i="26"/>
  <c r="Q89" i="26" s="1"/>
  <c r="U87" i="26"/>
  <c r="U89" i="26" s="1"/>
  <c r="T5" i="26"/>
  <c r="O5" i="26"/>
  <c r="P87" i="26"/>
  <c r="P89" i="26" s="1"/>
  <c r="AI70" i="26"/>
  <c r="O87" i="26"/>
  <c r="O89" i="26" s="1"/>
  <c r="M5" i="26"/>
  <c r="N87" i="26"/>
  <c r="N89" i="26" s="1"/>
  <c r="N7" i="26" s="1"/>
  <c r="L5" i="26"/>
  <c r="M87" i="26"/>
  <c r="M89" i="26" s="1"/>
  <c r="J5" i="26"/>
  <c r="L87" i="26"/>
  <c r="L89" i="26" s="1"/>
  <c r="K87" i="26"/>
  <c r="K89" i="26" s="1"/>
  <c r="H5" i="26"/>
  <c r="J87" i="26"/>
  <c r="J89" i="26" s="1"/>
  <c r="I5" i="26"/>
  <c r="F5" i="26"/>
  <c r="G87" i="26"/>
  <c r="G89" i="26" s="1"/>
  <c r="G90" i="26" s="1"/>
  <c r="H87" i="26"/>
  <c r="H89" i="26" s="1"/>
  <c r="H90" i="26" s="1"/>
  <c r="AH111" i="26"/>
  <c r="AI111" i="26"/>
  <c r="E5" i="26"/>
  <c r="D5" i="26"/>
  <c r="F87" i="26"/>
  <c r="F89" i="26" s="1"/>
  <c r="X246" i="26" s="1"/>
  <c r="E87" i="26"/>
  <c r="E89" i="26" s="1"/>
  <c r="W246" i="26" s="1"/>
  <c r="C5" i="26"/>
  <c r="D87" i="26"/>
  <c r="D89" i="26" s="1"/>
  <c r="D7" i="26" s="1"/>
  <c r="B5" i="26"/>
  <c r="AI66" i="26"/>
  <c r="C87" i="26"/>
  <c r="C89" i="26" s="1"/>
  <c r="C90" i="26" s="1"/>
  <c r="AI52" i="26"/>
  <c r="AF5" i="26"/>
  <c r="B87" i="26"/>
  <c r="B89" i="26" s="1"/>
  <c r="Z90" i="26"/>
  <c r="Z7" i="26"/>
  <c r="AR246" i="26"/>
  <c r="K90" i="26"/>
  <c r="K7" i="26"/>
  <c r="AC246" i="26"/>
  <c r="L90" i="26"/>
  <c r="L7" i="26"/>
  <c r="AD246" i="26"/>
  <c r="AB90" i="26"/>
  <c r="S90" i="26"/>
  <c r="S7" i="26"/>
  <c r="AK246" i="26"/>
  <c r="AB246" i="26"/>
  <c r="M7" i="26"/>
  <c r="AE246" i="26"/>
  <c r="M90" i="26"/>
  <c r="U7" i="26"/>
  <c r="AM246" i="26"/>
  <c r="U90" i="26"/>
  <c r="AC7" i="26"/>
  <c r="AC90" i="26"/>
  <c r="AU246" i="26"/>
  <c r="AA7" i="26"/>
  <c r="AS246" i="26"/>
  <c r="V7" i="26"/>
  <c r="AN246" i="26"/>
  <c r="V90" i="26"/>
  <c r="AV246" i="26"/>
  <c r="Y246" i="26"/>
  <c r="G7" i="26"/>
  <c r="AG246" i="26"/>
  <c r="O7" i="26"/>
  <c r="O90" i="26"/>
  <c r="AO246" i="26"/>
  <c r="W90" i="26"/>
  <c r="W7" i="26"/>
  <c r="AW246" i="26"/>
  <c r="AE90" i="26"/>
  <c r="AE7" i="26"/>
  <c r="R90" i="26"/>
  <c r="R7" i="26"/>
  <c r="AJ246" i="26"/>
  <c r="AG6" i="26"/>
  <c r="P90" i="26"/>
  <c r="AH246" i="26"/>
  <c r="P7" i="26"/>
  <c r="AP246" i="26"/>
  <c r="X7" i="26"/>
  <c r="AF90" i="26"/>
  <c r="AX246" i="26"/>
  <c r="AF7" i="26"/>
  <c r="H7" i="26"/>
  <c r="Z246" i="26"/>
  <c r="I90" i="26"/>
  <c r="I7" i="26"/>
  <c r="AA246" i="26"/>
  <c r="Q90" i="26"/>
  <c r="Q7" i="26"/>
  <c r="AI246" i="26"/>
  <c r="Y90" i="26"/>
  <c r="Y7" i="26"/>
  <c r="AQ246" i="26"/>
  <c r="F226" i="26"/>
  <c r="J229" i="26"/>
  <c r="K229" i="26" s="1"/>
  <c r="L229" i="26" s="1"/>
  <c r="M229" i="26" s="1"/>
  <c r="N229" i="26" s="1"/>
  <c r="O229" i="26" s="1"/>
  <c r="P229" i="26" s="1"/>
  <c r="AH66" i="26"/>
  <c r="O98" i="26"/>
  <c r="W98" i="26"/>
  <c r="AE98" i="26"/>
  <c r="D108" i="26"/>
  <c r="E227" i="26"/>
  <c r="F227" i="26" s="1"/>
  <c r="G227" i="26" s="1"/>
  <c r="H227" i="26" s="1"/>
  <c r="I227" i="26" s="1"/>
  <c r="J227" i="26" s="1"/>
  <c r="K227" i="26" s="1"/>
  <c r="L227" i="26" s="1"/>
  <c r="M227" i="26" s="1"/>
  <c r="N227" i="26" s="1"/>
  <c r="O227" i="26" s="1"/>
  <c r="P227" i="26" s="1"/>
  <c r="E231" i="26"/>
  <c r="S243" i="26"/>
  <c r="AH82" i="26"/>
  <c r="AH48" i="26"/>
  <c r="AH52" i="26"/>
  <c r="AI82" i="26"/>
  <c r="AI48" i="26"/>
  <c r="U48" i="25"/>
  <c r="U52" i="25"/>
  <c r="P226" i="31" l="1"/>
  <c r="M267" i="31"/>
  <c r="O231" i="31"/>
  <c r="M227" i="30"/>
  <c r="O226" i="30"/>
  <c r="L267" i="30"/>
  <c r="N231" i="30"/>
  <c r="M226" i="29"/>
  <c r="L108" i="29"/>
  <c r="K267" i="29"/>
  <c r="M231" i="29"/>
  <c r="P226" i="28"/>
  <c r="O108" i="28"/>
  <c r="C241" i="26"/>
  <c r="E7" i="26"/>
  <c r="AT246" i="26"/>
  <c r="E90" i="26"/>
  <c r="D90" i="26"/>
  <c r="N90" i="26"/>
  <c r="J7" i="26"/>
  <c r="AL246" i="26"/>
  <c r="J90" i="26"/>
  <c r="T7" i="26"/>
  <c r="K6" i="27"/>
  <c r="H231" i="27"/>
  <c r="F267" i="27"/>
  <c r="G232" i="27"/>
  <c r="G108" i="27"/>
  <c r="K226" i="27"/>
  <c r="AH90" i="27"/>
  <c r="AI90" i="27"/>
  <c r="A7" i="27"/>
  <c r="AD7" i="26"/>
  <c r="AI98" i="26"/>
  <c r="AH98" i="26"/>
  <c r="B241" i="26"/>
  <c r="AF246" i="26"/>
  <c r="F90" i="26"/>
  <c r="F7" i="26"/>
  <c r="V246" i="26"/>
  <c r="U246" i="26"/>
  <c r="C7" i="26"/>
  <c r="AH87" i="26"/>
  <c r="AI87" i="26"/>
  <c r="B90" i="26"/>
  <c r="AI89" i="26"/>
  <c r="AH89" i="26"/>
  <c r="B7" i="26"/>
  <c r="T246" i="26"/>
  <c r="D267" i="26"/>
  <c r="F231" i="26"/>
  <c r="E108" i="26"/>
  <c r="E232" i="26"/>
  <c r="G226" i="26"/>
  <c r="F108" i="26"/>
  <c r="F232" i="26"/>
  <c r="K6" i="26"/>
  <c r="N267" i="31" l="1"/>
  <c r="P231" i="31"/>
  <c r="O267" i="31" s="1"/>
  <c r="O108" i="31"/>
  <c r="M267" i="30"/>
  <c r="O231" i="30"/>
  <c r="N108" i="30"/>
  <c r="P226" i="30"/>
  <c r="O108" i="30"/>
  <c r="N227" i="30"/>
  <c r="L267" i="29"/>
  <c r="N231" i="29"/>
  <c r="N226" i="29"/>
  <c r="M108" i="29"/>
  <c r="AI108" i="28"/>
  <c r="AH108" i="28"/>
  <c r="L226" i="27"/>
  <c r="G267" i="27"/>
  <c r="I231" i="27"/>
  <c r="H232" i="27"/>
  <c r="H108" i="27"/>
  <c r="A7" i="26"/>
  <c r="AI90" i="26"/>
  <c r="AH90" i="26"/>
  <c r="H226" i="26"/>
  <c r="E267" i="26"/>
  <c r="G231" i="26"/>
  <c r="AI108" i="31" l="1"/>
  <c r="AH108" i="31"/>
  <c r="O227" i="30"/>
  <c r="AH108" i="30"/>
  <c r="AI108" i="30"/>
  <c r="N267" i="30"/>
  <c r="P231" i="30"/>
  <c r="O267" i="30" s="1"/>
  <c r="O226" i="29"/>
  <c r="N108" i="29"/>
  <c r="M267" i="29"/>
  <c r="O231" i="29"/>
  <c r="H267" i="27"/>
  <c r="J231" i="27"/>
  <c r="I108" i="27"/>
  <c r="M226" i="27"/>
  <c r="F267" i="26"/>
  <c r="H231" i="26"/>
  <c r="I226" i="26"/>
  <c r="H232" i="26"/>
  <c r="G232" i="26"/>
  <c r="P227" i="30" l="1"/>
  <c r="N267" i="29"/>
  <c r="P231" i="29"/>
  <c r="O267" i="29" s="1"/>
  <c r="P226" i="29"/>
  <c r="O108" i="29"/>
  <c r="N226" i="27"/>
  <c r="K231" i="27"/>
  <c r="I267" i="27"/>
  <c r="J108" i="27"/>
  <c r="J226" i="26"/>
  <c r="G267" i="26"/>
  <c r="I231" i="26"/>
  <c r="AH108" i="29" l="1"/>
  <c r="AI108" i="29"/>
  <c r="J267" i="27"/>
  <c r="L231" i="27"/>
  <c r="K108" i="27"/>
  <c r="O226" i="27"/>
  <c r="K226" i="26"/>
  <c r="H267" i="26"/>
  <c r="J231" i="26"/>
  <c r="I108" i="26"/>
  <c r="P226" i="27" l="1"/>
  <c r="K267" i="27"/>
  <c r="M231" i="27"/>
  <c r="L108" i="27"/>
  <c r="K231" i="26"/>
  <c r="I267" i="26"/>
  <c r="K108" i="26"/>
  <c r="L226" i="26"/>
  <c r="J108" i="26"/>
  <c r="L267" i="27" l="1"/>
  <c r="N231" i="27"/>
  <c r="M108" i="27"/>
  <c r="M226" i="26"/>
  <c r="L108" i="26"/>
  <c r="L231" i="26"/>
  <c r="J267" i="26"/>
  <c r="M267" i="27" l="1"/>
  <c r="O231" i="27"/>
  <c r="N108" i="27"/>
  <c r="K267" i="26"/>
  <c r="M231" i="26"/>
  <c r="N226" i="26"/>
  <c r="M108" i="26"/>
  <c r="N267" i="27" l="1"/>
  <c r="P231" i="27"/>
  <c r="O267" i="27" s="1"/>
  <c r="O108" i="27"/>
  <c r="O226" i="26"/>
  <c r="L267" i="26"/>
  <c r="N231" i="26"/>
  <c r="N108" i="26" s="1"/>
  <c r="AH108" i="27" l="1"/>
  <c r="AI108" i="27"/>
  <c r="M267" i="26"/>
  <c r="O231" i="26"/>
  <c r="P226" i="26"/>
  <c r="O108" i="26"/>
  <c r="AI108" i="26" l="1"/>
  <c r="AH108" i="26"/>
  <c r="N267" i="26"/>
  <c r="P231" i="26"/>
  <c r="O267" i="26" s="1"/>
  <c r="AF271" i="25" l="1"/>
  <c r="AE271" i="25"/>
  <c r="AD271" i="25"/>
  <c r="AC271" i="25"/>
  <c r="AB271" i="25"/>
  <c r="AA271" i="25"/>
  <c r="Z271" i="25"/>
  <c r="Y271" i="25"/>
  <c r="X271" i="25"/>
  <c r="W271" i="25"/>
  <c r="V271" i="25"/>
  <c r="U271" i="25"/>
  <c r="T271" i="25"/>
  <c r="S271" i="25"/>
  <c r="R271" i="25"/>
  <c r="Q271" i="25"/>
  <c r="P271" i="25"/>
  <c r="O271" i="25"/>
  <c r="N271" i="25"/>
  <c r="M271" i="25"/>
  <c r="L271" i="25"/>
  <c r="K271" i="25"/>
  <c r="J271" i="25"/>
  <c r="I271" i="25"/>
  <c r="H271" i="25"/>
  <c r="G271" i="25"/>
  <c r="F271" i="25"/>
  <c r="E271" i="25"/>
  <c r="D271" i="25"/>
  <c r="C271" i="25"/>
  <c r="B271" i="25"/>
  <c r="A271" i="25"/>
  <c r="AF270" i="25"/>
  <c r="AE270" i="25"/>
  <c r="AD270" i="25"/>
  <c r="AC270" i="25"/>
  <c r="AB270" i="25"/>
  <c r="AA270" i="25"/>
  <c r="Z270" i="25"/>
  <c r="Y270" i="25"/>
  <c r="X270" i="25"/>
  <c r="W270" i="25"/>
  <c r="V270" i="25"/>
  <c r="U270" i="25"/>
  <c r="T270" i="25"/>
  <c r="S270" i="25"/>
  <c r="R270" i="25"/>
  <c r="Q270" i="25"/>
  <c r="P270" i="25"/>
  <c r="O270" i="25"/>
  <c r="N270" i="25"/>
  <c r="M270" i="25"/>
  <c r="L270" i="25"/>
  <c r="K270" i="25"/>
  <c r="J270" i="25"/>
  <c r="I270" i="25"/>
  <c r="H270" i="25"/>
  <c r="G270" i="25"/>
  <c r="F270" i="25"/>
  <c r="E270" i="25"/>
  <c r="D270" i="25"/>
  <c r="C270" i="25"/>
  <c r="B270" i="25"/>
  <c r="A270" i="25"/>
  <c r="AF269" i="25"/>
  <c r="AE269" i="25"/>
  <c r="AD269" i="25"/>
  <c r="AC269" i="25"/>
  <c r="AB269" i="25"/>
  <c r="AA269" i="25"/>
  <c r="Z269" i="25"/>
  <c r="Y269" i="25"/>
  <c r="X269" i="25"/>
  <c r="W269" i="25"/>
  <c r="V269" i="25"/>
  <c r="U269" i="25"/>
  <c r="T269" i="25"/>
  <c r="S269" i="25"/>
  <c r="R269" i="25"/>
  <c r="Q269" i="25"/>
  <c r="P269" i="25"/>
  <c r="O269" i="25"/>
  <c r="N269" i="25"/>
  <c r="M269" i="25"/>
  <c r="L269" i="25"/>
  <c r="K269" i="25"/>
  <c r="J269" i="25"/>
  <c r="I269" i="25"/>
  <c r="H269" i="25"/>
  <c r="G269" i="25"/>
  <c r="F269" i="25"/>
  <c r="E269" i="25"/>
  <c r="D269" i="25"/>
  <c r="C269" i="25"/>
  <c r="B269" i="25"/>
  <c r="A269" i="25"/>
  <c r="AF268" i="25"/>
  <c r="AE268" i="25"/>
  <c r="AD268" i="25"/>
  <c r="AC268" i="25"/>
  <c r="AB268" i="25"/>
  <c r="AA268" i="25"/>
  <c r="Z268" i="25"/>
  <c r="Y268" i="25"/>
  <c r="X268" i="25"/>
  <c r="W268" i="25"/>
  <c r="V268" i="25"/>
  <c r="U268" i="25"/>
  <c r="T268" i="25"/>
  <c r="S268" i="25"/>
  <c r="R268" i="25"/>
  <c r="Q268" i="25"/>
  <c r="P268" i="25"/>
  <c r="O268" i="25"/>
  <c r="N268" i="25"/>
  <c r="M268" i="25"/>
  <c r="L268" i="25"/>
  <c r="K268" i="25"/>
  <c r="J268" i="25"/>
  <c r="I268" i="25"/>
  <c r="H268" i="25"/>
  <c r="G268" i="25"/>
  <c r="F268" i="25"/>
  <c r="E268" i="25"/>
  <c r="D268" i="25"/>
  <c r="C268" i="25"/>
  <c r="B268" i="25"/>
  <c r="A268" i="25"/>
  <c r="AE267" i="25"/>
  <c r="AD267" i="25"/>
  <c r="AC267" i="25"/>
  <c r="AB267" i="25"/>
  <c r="AA267" i="25"/>
  <c r="Z267" i="25"/>
  <c r="Y267" i="25"/>
  <c r="X267" i="25"/>
  <c r="W267" i="25"/>
  <c r="V267" i="25"/>
  <c r="U267" i="25"/>
  <c r="T267" i="25"/>
  <c r="S267" i="25"/>
  <c r="R267" i="25"/>
  <c r="Q267" i="25"/>
  <c r="P267" i="25"/>
  <c r="B267" i="25"/>
  <c r="S242" i="25"/>
  <c r="AG232" i="25"/>
  <c r="AF232" i="25"/>
  <c r="AE232" i="25"/>
  <c r="AD232" i="25"/>
  <c r="AC232" i="25"/>
  <c r="AB232" i="25"/>
  <c r="AA232" i="25"/>
  <c r="Z232" i="25"/>
  <c r="Y232" i="25"/>
  <c r="X232" i="25"/>
  <c r="W232" i="25"/>
  <c r="V232" i="25"/>
  <c r="U232" i="25"/>
  <c r="T232" i="25"/>
  <c r="S232" i="25"/>
  <c r="R232" i="25"/>
  <c r="Q232" i="25"/>
  <c r="C232" i="25"/>
  <c r="D231" i="25"/>
  <c r="C267" i="25" s="1"/>
  <c r="B231" i="25"/>
  <c r="AF267" i="25" s="1"/>
  <c r="D230" i="25"/>
  <c r="E230" i="25" s="1"/>
  <c r="F230" i="25" s="1"/>
  <c r="G230" i="25" s="1"/>
  <c r="H230" i="25" s="1"/>
  <c r="I230" i="25" s="1"/>
  <c r="J230" i="25" s="1"/>
  <c r="K230" i="25" s="1"/>
  <c r="L230" i="25" s="1"/>
  <c r="M230" i="25" s="1"/>
  <c r="N230" i="25" s="1"/>
  <c r="O230" i="25" s="1"/>
  <c r="P230" i="25" s="1"/>
  <c r="B230" i="25"/>
  <c r="E229" i="25"/>
  <c r="F229" i="25" s="1"/>
  <c r="G229" i="25" s="1"/>
  <c r="H229" i="25" s="1"/>
  <c r="I229" i="25" s="1"/>
  <c r="D229" i="25"/>
  <c r="B229" i="25"/>
  <c r="F228" i="25"/>
  <c r="G228" i="25" s="1"/>
  <c r="H228" i="25" s="1"/>
  <c r="E228" i="25"/>
  <c r="D228" i="25"/>
  <c r="B228" i="25"/>
  <c r="D227" i="25"/>
  <c r="E227" i="25" s="1"/>
  <c r="F227" i="25" s="1"/>
  <c r="G227" i="25" s="1"/>
  <c r="H227" i="25" s="1"/>
  <c r="I227" i="25" s="1"/>
  <c r="J227" i="25" s="1"/>
  <c r="K227" i="25" s="1"/>
  <c r="L227" i="25" s="1"/>
  <c r="M227" i="25" s="1"/>
  <c r="N227" i="25" s="1"/>
  <c r="O227" i="25" s="1"/>
  <c r="P227" i="25" s="1"/>
  <c r="B227" i="25"/>
  <c r="D226" i="25"/>
  <c r="D232" i="25" s="1"/>
  <c r="B226" i="25"/>
  <c r="B232" i="25" s="1"/>
  <c r="AG224" i="25"/>
  <c r="AF224" i="25"/>
  <c r="AE224" i="25"/>
  <c r="AD224" i="25"/>
  <c r="AC224" i="25"/>
  <c r="AB224" i="25"/>
  <c r="AA224" i="25"/>
  <c r="Z224" i="25"/>
  <c r="Y224" i="25"/>
  <c r="X224" i="25"/>
  <c r="W224" i="25"/>
  <c r="V224" i="25"/>
  <c r="U224" i="25"/>
  <c r="T224" i="25"/>
  <c r="S224" i="25"/>
  <c r="R224" i="25"/>
  <c r="Q224" i="25"/>
  <c r="P224" i="25"/>
  <c r="O224" i="25"/>
  <c r="N224" i="25"/>
  <c r="M224" i="25"/>
  <c r="L224" i="25"/>
  <c r="K224" i="25"/>
  <c r="J224" i="25"/>
  <c r="I224" i="25"/>
  <c r="H224" i="25"/>
  <c r="G224" i="25"/>
  <c r="F224" i="25"/>
  <c r="E224" i="25"/>
  <c r="D224" i="25"/>
  <c r="C224" i="25"/>
  <c r="B224" i="25"/>
  <c r="AI117" i="25"/>
  <c r="AH117" i="25"/>
  <c r="AI116" i="25"/>
  <c r="AH116" i="25"/>
  <c r="AI115" i="25"/>
  <c r="AH115" i="25"/>
  <c r="AI114" i="25"/>
  <c r="AH114" i="25"/>
  <c r="AI113" i="25"/>
  <c r="AH113" i="25"/>
  <c r="AI112" i="25"/>
  <c r="AH112" i="25"/>
  <c r="AI111" i="25"/>
  <c r="AH111" i="25"/>
  <c r="AI110" i="25"/>
  <c r="AH110" i="25"/>
  <c r="AI109" i="25"/>
  <c r="AH109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C108" i="25"/>
  <c r="B108" i="25"/>
  <c r="AI107" i="25"/>
  <c r="AH107" i="25"/>
  <c r="AI106" i="25"/>
  <c r="AH106" i="25"/>
  <c r="AI105" i="25"/>
  <c r="AH105" i="25"/>
  <c r="AI104" i="25"/>
  <c r="AH104" i="25"/>
  <c r="AI103" i="25"/>
  <c r="AH103" i="25"/>
  <c r="AI102" i="25"/>
  <c r="AH102" i="25"/>
  <c r="AI101" i="25"/>
  <c r="AH101" i="25"/>
  <c r="AI100" i="25"/>
  <c r="AH100" i="25"/>
  <c r="AI99" i="25"/>
  <c r="AH99" i="25"/>
  <c r="AI97" i="25"/>
  <c r="AH97" i="25"/>
  <c r="AI96" i="25"/>
  <c r="AH96" i="25"/>
  <c r="AI95" i="25"/>
  <c r="AH95" i="25"/>
  <c r="AI94" i="25"/>
  <c r="AH94" i="25"/>
  <c r="AI93" i="25"/>
  <c r="AH93" i="25"/>
  <c r="AI92" i="25"/>
  <c r="AH92" i="25"/>
  <c r="AI91" i="25"/>
  <c r="AH91" i="25"/>
  <c r="AI88" i="25"/>
  <c r="AH88" i="25"/>
  <c r="AI86" i="25"/>
  <c r="AH86" i="25"/>
  <c r="AG86" i="25"/>
  <c r="AI85" i="25"/>
  <c r="AH85" i="25"/>
  <c r="AI84" i="25"/>
  <c r="AH84" i="25"/>
  <c r="AI83" i="25"/>
  <c r="AH83" i="25"/>
  <c r="AN82" i="25"/>
  <c r="AG82" i="25"/>
  <c r="AG89" i="25" s="1"/>
  <c r="AF82" i="25"/>
  <c r="AF98" i="25" s="1"/>
  <c r="AE82" i="25"/>
  <c r="AD5" i="25" s="1"/>
  <c r="AD82" i="25"/>
  <c r="AD98" i="25" s="1"/>
  <c r="AC82" i="25"/>
  <c r="AC98" i="25" s="1"/>
  <c r="AB82" i="25"/>
  <c r="AB98" i="25" s="1"/>
  <c r="AA82" i="25"/>
  <c r="AA98" i="25" s="1"/>
  <c r="Z82" i="25"/>
  <c r="Z98" i="25" s="1"/>
  <c r="Y82" i="25"/>
  <c r="X5" i="25" s="1"/>
  <c r="X82" i="25"/>
  <c r="X98" i="25" s="1"/>
  <c r="W82" i="25"/>
  <c r="V5" i="25" s="1"/>
  <c r="V82" i="25"/>
  <c r="U5" i="25" s="1"/>
  <c r="U82" i="25"/>
  <c r="U98" i="25" s="1"/>
  <c r="T82" i="25"/>
  <c r="T98" i="25" s="1"/>
  <c r="S82" i="25"/>
  <c r="S98" i="25" s="1"/>
  <c r="R82" i="25"/>
  <c r="R98" i="25" s="1"/>
  <c r="Q82" i="25"/>
  <c r="P5" i="25" s="1"/>
  <c r="P82" i="25"/>
  <c r="O5" i="25" s="1"/>
  <c r="O82" i="25"/>
  <c r="N5" i="25" s="1"/>
  <c r="N82" i="25"/>
  <c r="M5" i="25" s="1"/>
  <c r="M82" i="25"/>
  <c r="M98" i="25" s="1"/>
  <c r="L82" i="25"/>
  <c r="L98" i="25" s="1"/>
  <c r="K82" i="25"/>
  <c r="K98" i="25" s="1"/>
  <c r="J82" i="25"/>
  <c r="J98" i="25" s="1"/>
  <c r="I82" i="25"/>
  <c r="H5" i="25" s="1"/>
  <c r="H82" i="25"/>
  <c r="H98" i="25" s="1"/>
  <c r="G82" i="25"/>
  <c r="F5" i="25" s="1"/>
  <c r="F82" i="25"/>
  <c r="F98" i="25" s="1"/>
  <c r="E82" i="25"/>
  <c r="E98" i="25" s="1"/>
  <c r="D82" i="25"/>
  <c r="D98" i="25" s="1"/>
  <c r="C82" i="25"/>
  <c r="C98" i="25" s="1"/>
  <c r="B82" i="25"/>
  <c r="B98" i="25" s="1"/>
  <c r="AN81" i="25"/>
  <c r="AI81" i="25"/>
  <c r="AH81" i="25"/>
  <c r="AN80" i="25"/>
  <c r="AI80" i="25"/>
  <c r="AH80" i="25"/>
  <c r="AN79" i="25"/>
  <c r="AI79" i="25"/>
  <c r="AH79" i="25"/>
  <c r="AI78" i="25"/>
  <c r="AH78" i="25"/>
  <c r="AI77" i="25"/>
  <c r="AH77" i="25"/>
  <c r="AI76" i="25"/>
  <c r="AH76" i="25"/>
  <c r="AI75" i="25"/>
  <c r="AH75" i="25"/>
  <c r="AI74" i="25"/>
  <c r="AH74" i="25"/>
  <c r="AI73" i="25"/>
  <c r="AH73" i="25"/>
  <c r="AI72" i="25"/>
  <c r="AH72" i="25"/>
  <c r="AI71" i="25"/>
  <c r="AH71" i="25"/>
  <c r="AG70" i="25"/>
  <c r="AF70" i="25"/>
  <c r="AE70" i="25"/>
  <c r="AD70" i="25"/>
  <c r="AC70" i="25"/>
  <c r="AB70" i="25"/>
  <c r="AA70" i="25"/>
  <c r="Z70" i="25"/>
  <c r="Y70" i="25"/>
  <c r="X70" i="25"/>
  <c r="W70" i="25"/>
  <c r="V70" i="25"/>
  <c r="U70" i="25"/>
  <c r="T70" i="25"/>
  <c r="S70" i="25"/>
  <c r="R70" i="25"/>
  <c r="Q70" i="25"/>
  <c r="P70" i="25"/>
  <c r="O70" i="25"/>
  <c r="N70" i="25"/>
  <c r="M70" i="25"/>
  <c r="L70" i="25"/>
  <c r="B70" i="25"/>
  <c r="AI69" i="25"/>
  <c r="AH69" i="25"/>
  <c r="AI68" i="25"/>
  <c r="AH68" i="25"/>
  <c r="AI67" i="25"/>
  <c r="AH67" i="25"/>
  <c r="AG66" i="25"/>
  <c r="AG3" i="25" s="1"/>
  <c r="AF66" i="25"/>
  <c r="AE66" i="25"/>
  <c r="AD66" i="25"/>
  <c r="AC66" i="25"/>
  <c r="AB66" i="25"/>
  <c r="AA66" i="25"/>
  <c r="Z66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AI65" i="25"/>
  <c r="AH65" i="25"/>
  <c r="AG65" i="25"/>
  <c r="AI64" i="25"/>
  <c r="AH64" i="25"/>
  <c r="AI63" i="25"/>
  <c r="AH63" i="25"/>
  <c r="AI62" i="25"/>
  <c r="AH62" i="25"/>
  <c r="AI61" i="25"/>
  <c r="AH61" i="25"/>
  <c r="AI60" i="25"/>
  <c r="AH60" i="25"/>
  <c r="AI59" i="25"/>
  <c r="AH59" i="25"/>
  <c r="AI58" i="25"/>
  <c r="AH58" i="25"/>
  <c r="AI57" i="25"/>
  <c r="AH57" i="25"/>
  <c r="AI56" i="25"/>
  <c r="AH56" i="25"/>
  <c r="AI55" i="25"/>
  <c r="AH55" i="25"/>
  <c r="AI54" i="25"/>
  <c r="AH54" i="25"/>
  <c r="AI53" i="25"/>
  <c r="AH53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AI51" i="25"/>
  <c r="AH51" i="25"/>
  <c r="AI50" i="25"/>
  <c r="AH50" i="25"/>
  <c r="AI49" i="25"/>
  <c r="AH49" i="25"/>
  <c r="AG48" i="25"/>
  <c r="AG87" i="25" s="1"/>
  <c r="AF48" i="25"/>
  <c r="AE48" i="25"/>
  <c r="AD48" i="25"/>
  <c r="AC48" i="25"/>
  <c r="AB48" i="25"/>
  <c r="AA48" i="25"/>
  <c r="Z48" i="25"/>
  <c r="Y48" i="25"/>
  <c r="X48" i="25"/>
  <c r="W48" i="25"/>
  <c r="V48" i="25"/>
  <c r="T48" i="25"/>
  <c r="T87" i="25" s="1"/>
  <c r="T89" i="25" s="1"/>
  <c r="S48" i="25"/>
  <c r="R48" i="25"/>
  <c r="R87" i="25" s="1"/>
  <c r="R89" i="25" s="1"/>
  <c r="Q48" i="25"/>
  <c r="P48" i="25"/>
  <c r="O48" i="25"/>
  <c r="N48" i="25"/>
  <c r="M48" i="25"/>
  <c r="L48" i="25"/>
  <c r="K48" i="25"/>
  <c r="J48" i="25"/>
  <c r="I48" i="25"/>
  <c r="H48" i="25"/>
  <c r="G48" i="25"/>
  <c r="F48" i="25"/>
  <c r="E48" i="25"/>
  <c r="D48" i="25"/>
  <c r="C48" i="25"/>
  <c r="B48" i="25"/>
  <c r="AI47" i="25"/>
  <c r="AH47" i="25"/>
  <c r="AI46" i="25"/>
  <c r="AH46" i="25"/>
  <c r="AI45" i="25"/>
  <c r="AH45" i="25"/>
  <c r="AI44" i="25"/>
  <c r="AH44" i="25"/>
  <c r="AI43" i="25"/>
  <c r="AH43" i="25"/>
  <c r="AI42" i="25"/>
  <c r="AH42" i="25"/>
  <c r="AI41" i="25"/>
  <c r="AH41" i="25"/>
  <c r="AI40" i="25"/>
  <c r="AH40" i="25"/>
  <c r="AI39" i="25"/>
  <c r="AH39" i="25"/>
  <c r="AI38" i="25"/>
  <c r="AH38" i="25"/>
  <c r="AI37" i="25"/>
  <c r="AH37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3" i="25"/>
  <c r="AH13" i="25"/>
  <c r="AI12" i="25"/>
  <c r="AH12" i="25"/>
  <c r="AI11" i="25"/>
  <c r="AH11" i="25"/>
  <c r="AG4" i="25"/>
  <c r="K4" i="25"/>
  <c r="E4" i="25"/>
  <c r="H4" i="25" s="1"/>
  <c r="B4" i="25"/>
  <c r="S243" i="25" s="1"/>
  <c r="AG2" i="25"/>
  <c r="AG6" i="25" s="1"/>
  <c r="AA111" i="24"/>
  <c r="Z111" i="24"/>
  <c r="Y111" i="24"/>
  <c r="X111" i="24"/>
  <c r="W111" i="24"/>
  <c r="W48" i="24"/>
  <c r="U111" i="24"/>
  <c r="T111" i="24"/>
  <c r="S111" i="24"/>
  <c r="R52" i="24"/>
  <c r="Q111" i="24"/>
  <c r="AE5" i="25" l="1"/>
  <c r="AF87" i="25"/>
  <c r="AF89" i="25" s="1"/>
  <c r="AF90" i="25" s="1"/>
  <c r="AE87" i="25"/>
  <c r="AE89" i="25" s="1"/>
  <c r="AW246" i="25" s="1"/>
  <c r="AC5" i="25"/>
  <c r="AD87" i="25"/>
  <c r="AD89" i="25" s="1"/>
  <c r="AD7" i="25" s="1"/>
  <c r="AB5" i="25"/>
  <c r="AC87" i="25"/>
  <c r="AC89" i="25" s="1"/>
  <c r="AU246" i="25" s="1"/>
  <c r="AA5" i="25"/>
  <c r="AB87" i="25"/>
  <c r="AB89" i="25" s="1"/>
  <c r="AB90" i="25" s="1"/>
  <c r="Z5" i="25"/>
  <c r="AA87" i="25"/>
  <c r="AA89" i="25" s="1"/>
  <c r="AA90" i="25" s="1"/>
  <c r="Z87" i="25"/>
  <c r="Z89" i="25" s="1"/>
  <c r="Z7" i="25" s="1"/>
  <c r="Y5" i="25"/>
  <c r="Y87" i="25"/>
  <c r="Y89" i="25" s="1"/>
  <c r="W5" i="25"/>
  <c r="X87" i="25"/>
  <c r="X89" i="25" s="1"/>
  <c r="X90" i="25" s="1"/>
  <c r="W87" i="25"/>
  <c r="W89" i="25" s="1"/>
  <c r="V98" i="25"/>
  <c r="V87" i="25"/>
  <c r="V89" i="25" s="1"/>
  <c r="V7" i="25" s="1"/>
  <c r="T5" i="25"/>
  <c r="U87" i="25"/>
  <c r="U89" i="25" s="1"/>
  <c r="AM246" i="25" s="1"/>
  <c r="S5" i="25"/>
  <c r="R5" i="25"/>
  <c r="S87" i="25"/>
  <c r="S89" i="25" s="1"/>
  <c r="S90" i="25" s="1"/>
  <c r="Q5" i="25"/>
  <c r="Q87" i="25"/>
  <c r="Q89" i="25" s="1"/>
  <c r="P98" i="25"/>
  <c r="AH70" i="25"/>
  <c r="P87" i="25"/>
  <c r="P89" i="25" s="1"/>
  <c r="AH246" i="25" s="1"/>
  <c r="O87" i="25"/>
  <c r="O89" i="25" s="1"/>
  <c r="O7" i="25" s="1"/>
  <c r="N98" i="25"/>
  <c r="N87" i="25"/>
  <c r="N89" i="25" s="1"/>
  <c r="N90" i="25" s="1"/>
  <c r="L5" i="25"/>
  <c r="AI70" i="25"/>
  <c r="M87" i="25"/>
  <c r="M89" i="25" s="1"/>
  <c r="M90" i="25" s="1"/>
  <c r="K5" i="25"/>
  <c r="L87" i="25"/>
  <c r="L89" i="25" s="1"/>
  <c r="L90" i="25" s="1"/>
  <c r="I5" i="25"/>
  <c r="J87" i="25"/>
  <c r="J89" i="25" s="1"/>
  <c r="AB246" i="25" s="1"/>
  <c r="I87" i="25"/>
  <c r="I89" i="25" s="1"/>
  <c r="I7" i="25" s="1"/>
  <c r="G5" i="25"/>
  <c r="H87" i="25"/>
  <c r="H89" i="25" s="1"/>
  <c r="H90" i="25" s="1"/>
  <c r="G87" i="25"/>
  <c r="G89" i="25" s="1"/>
  <c r="Y246" i="25" s="1"/>
  <c r="E5" i="25"/>
  <c r="AH66" i="25"/>
  <c r="F87" i="25"/>
  <c r="F89" i="25" s="1"/>
  <c r="F7" i="25" s="1"/>
  <c r="K87" i="25"/>
  <c r="K89" i="25" s="1"/>
  <c r="K90" i="25" s="1"/>
  <c r="J5" i="25"/>
  <c r="C87" i="25"/>
  <c r="C89" i="25" s="1"/>
  <c r="C90" i="25" s="1"/>
  <c r="B5" i="25"/>
  <c r="D5" i="25"/>
  <c r="E87" i="25"/>
  <c r="E89" i="25" s="1"/>
  <c r="E90" i="25" s="1"/>
  <c r="D87" i="25"/>
  <c r="D89" i="25" s="1"/>
  <c r="D90" i="25" s="1"/>
  <c r="C5" i="25"/>
  <c r="AI66" i="25"/>
  <c r="AI52" i="25"/>
  <c r="B87" i="25"/>
  <c r="B89" i="25" s="1"/>
  <c r="AF5" i="25"/>
  <c r="D243" i="25"/>
  <c r="AG246" i="25"/>
  <c r="O90" i="25"/>
  <c r="AO246" i="25"/>
  <c r="W7" i="25"/>
  <c r="W90" i="25"/>
  <c r="AE90" i="25"/>
  <c r="F90" i="25"/>
  <c r="AV246" i="25"/>
  <c r="AD90" i="25"/>
  <c r="P90" i="25"/>
  <c r="P7" i="25"/>
  <c r="U7" i="25"/>
  <c r="AJ246" i="25"/>
  <c r="R90" i="25"/>
  <c r="R7" i="25"/>
  <c r="Z90" i="25"/>
  <c r="AR246" i="25"/>
  <c r="AC7" i="25"/>
  <c r="Y90" i="25"/>
  <c r="Y7" i="25"/>
  <c r="AQ246" i="25"/>
  <c r="C7" i="25"/>
  <c r="U246" i="25"/>
  <c r="J229" i="25"/>
  <c r="K229" i="25" s="1"/>
  <c r="L229" i="25" s="1"/>
  <c r="M229" i="25" s="1"/>
  <c r="N229" i="25" s="1"/>
  <c r="O229" i="25" s="1"/>
  <c r="P229" i="25" s="1"/>
  <c r="Q90" i="25"/>
  <c r="Q7" i="25"/>
  <c r="AI246" i="25"/>
  <c r="T90" i="25"/>
  <c r="T7" i="25"/>
  <c r="AL246" i="25"/>
  <c r="AT246" i="25"/>
  <c r="G98" i="25"/>
  <c r="O98" i="25"/>
  <c r="W98" i="25"/>
  <c r="AE98" i="25"/>
  <c r="D108" i="25"/>
  <c r="E231" i="25"/>
  <c r="AH82" i="25"/>
  <c r="I98" i="25"/>
  <c r="Q98" i="25"/>
  <c r="Y98" i="25"/>
  <c r="E226" i="25"/>
  <c r="AH48" i="25"/>
  <c r="AH52" i="25"/>
  <c r="AI82" i="25"/>
  <c r="AI48" i="25"/>
  <c r="N70" i="24"/>
  <c r="G48" i="24"/>
  <c r="AF271" i="24"/>
  <c r="AE271" i="24"/>
  <c r="AD271" i="24"/>
  <c r="AC271" i="24"/>
  <c r="AB271" i="24"/>
  <c r="AA271" i="24"/>
  <c r="Z271" i="24"/>
  <c r="Y271" i="24"/>
  <c r="X271" i="24"/>
  <c r="W271" i="24"/>
  <c r="V271" i="24"/>
  <c r="U271" i="24"/>
  <c r="T271" i="24"/>
  <c r="S271" i="24"/>
  <c r="R271" i="24"/>
  <c r="Q271" i="24"/>
  <c r="P271" i="24"/>
  <c r="O271" i="24"/>
  <c r="N271" i="24"/>
  <c r="M271" i="24"/>
  <c r="L271" i="24"/>
  <c r="K271" i="24"/>
  <c r="J271" i="24"/>
  <c r="I271" i="24"/>
  <c r="H271" i="24"/>
  <c r="G271" i="24"/>
  <c r="F271" i="24"/>
  <c r="E271" i="24"/>
  <c r="D271" i="24"/>
  <c r="C271" i="24"/>
  <c r="B271" i="24"/>
  <c r="A271" i="24"/>
  <c r="AF270" i="24"/>
  <c r="AE270" i="24"/>
  <c r="AD270" i="24"/>
  <c r="AC270" i="24"/>
  <c r="AB270" i="24"/>
  <c r="AA270" i="24"/>
  <c r="Z270" i="24"/>
  <c r="Y270" i="24"/>
  <c r="X270" i="24"/>
  <c r="W270" i="24"/>
  <c r="V270" i="24"/>
  <c r="U270" i="24"/>
  <c r="T270" i="24"/>
  <c r="S270" i="24"/>
  <c r="R270" i="24"/>
  <c r="Q270" i="24"/>
  <c r="P270" i="24"/>
  <c r="O270" i="24"/>
  <c r="N270" i="24"/>
  <c r="M270" i="24"/>
  <c r="L270" i="24"/>
  <c r="K270" i="24"/>
  <c r="J270" i="24"/>
  <c r="I270" i="24"/>
  <c r="H270" i="24"/>
  <c r="G270" i="24"/>
  <c r="F270" i="24"/>
  <c r="E270" i="24"/>
  <c r="D270" i="24"/>
  <c r="C270" i="24"/>
  <c r="B270" i="24"/>
  <c r="A270" i="24"/>
  <c r="AF269" i="24"/>
  <c r="AE269" i="24"/>
  <c r="AD269" i="24"/>
  <c r="AC269" i="24"/>
  <c r="AB269" i="24"/>
  <c r="AA269" i="24"/>
  <c r="Z269" i="24"/>
  <c r="Y269" i="24"/>
  <c r="X269" i="24"/>
  <c r="W269" i="24"/>
  <c r="V269" i="24"/>
  <c r="U269" i="24"/>
  <c r="T269" i="24"/>
  <c r="S269" i="24"/>
  <c r="R269" i="24"/>
  <c r="Q269" i="24"/>
  <c r="P269" i="24"/>
  <c r="O269" i="24"/>
  <c r="N269" i="24"/>
  <c r="M269" i="24"/>
  <c r="L269" i="24"/>
  <c r="K269" i="24"/>
  <c r="J269" i="24"/>
  <c r="I269" i="24"/>
  <c r="H269" i="24"/>
  <c r="G269" i="24"/>
  <c r="F269" i="24"/>
  <c r="E269" i="24"/>
  <c r="D269" i="24"/>
  <c r="C269" i="24"/>
  <c r="B269" i="24"/>
  <c r="A269" i="24"/>
  <c r="AF268" i="24"/>
  <c r="AE268" i="24"/>
  <c r="AD268" i="24"/>
  <c r="AC268" i="24"/>
  <c r="AB268" i="24"/>
  <c r="AA268" i="24"/>
  <c r="Z268" i="24"/>
  <c r="Y268" i="24"/>
  <c r="X268" i="24"/>
  <c r="W268" i="24"/>
  <c r="V268" i="24"/>
  <c r="U268" i="24"/>
  <c r="T268" i="24"/>
  <c r="S268" i="24"/>
  <c r="R268" i="24"/>
  <c r="Q268" i="24"/>
  <c r="P268" i="24"/>
  <c r="O268" i="24"/>
  <c r="N268" i="24"/>
  <c r="M268" i="24"/>
  <c r="L268" i="24"/>
  <c r="K268" i="24"/>
  <c r="J268" i="24"/>
  <c r="I268" i="24"/>
  <c r="H268" i="24"/>
  <c r="G268" i="24"/>
  <c r="F268" i="24"/>
  <c r="E268" i="24"/>
  <c r="D268" i="24"/>
  <c r="C268" i="24"/>
  <c r="B268" i="24"/>
  <c r="A268" i="24"/>
  <c r="AE267" i="24"/>
  <c r="AD267" i="24"/>
  <c r="AC267" i="24"/>
  <c r="AB267" i="24"/>
  <c r="AA267" i="24"/>
  <c r="Z267" i="24"/>
  <c r="Y267" i="24"/>
  <c r="X267" i="24"/>
  <c r="W267" i="24"/>
  <c r="V267" i="24"/>
  <c r="U267" i="24"/>
  <c r="T267" i="24"/>
  <c r="S267" i="24"/>
  <c r="R267" i="24"/>
  <c r="Q267" i="24"/>
  <c r="P267" i="24"/>
  <c r="E267" i="24"/>
  <c r="D267" i="24"/>
  <c r="C267" i="24"/>
  <c r="B267" i="24"/>
  <c r="S242" i="24"/>
  <c r="AG232" i="24"/>
  <c r="AG65" i="24" s="1"/>
  <c r="AG66" i="24" s="1"/>
  <c r="AG3" i="24" s="1"/>
  <c r="AF232" i="24"/>
  <c r="AE232" i="24"/>
  <c r="AD232" i="24"/>
  <c r="AC232" i="24"/>
  <c r="AB232" i="24"/>
  <c r="AA232" i="24"/>
  <c r="Z232" i="24"/>
  <c r="Y232" i="24"/>
  <c r="X232" i="24"/>
  <c r="W232" i="24"/>
  <c r="V232" i="24"/>
  <c r="U232" i="24"/>
  <c r="T232" i="24"/>
  <c r="S232" i="24"/>
  <c r="R232" i="24"/>
  <c r="Q232" i="24"/>
  <c r="C232" i="24"/>
  <c r="H231" i="24"/>
  <c r="G267" i="24" s="1"/>
  <c r="G231" i="24"/>
  <c r="F267" i="24" s="1"/>
  <c r="F231" i="24"/>
  <c r="E231" i="24"/>
  <c r="D231" i="24"/>
  <c r="B231" i="24"/>
  <c r="AF267" i="24" s="1"/>
  <c r="F230" i="24"/>
  <c r="G230" i="24" s="1"/>
  <c r="H230" i="24" s="1"/>
  <c r="I230" i="24" s="1"/>
  <c r="J230" i="24" s="1"/>
  <c r="K230" i="24" s="1"/>
  <c r="L230" i="24" s="1"/>
  <c r="M230" i="24" s="1"/>
  <c r="N230" i="24" s="1"/>
  <c r="O230" i="24" s="1"/>
  <c r="P230" i="24" s="1"/>
  <c r="E230" i="24"/>
  <c r="D230" i="24"/>
  <c r="B230" i="24"/>
  <c r="D229" i="24"/>
  <c r="E229" i="24" s="1"/>
  <c r="F229" i="24" s="1"/>
  <c r="G229" i="24" s="1"/>
  <c r="H229" i="24" s="1"/>
  <c r="I229" i="24" s="1"/>
  <c r="B229" i="24"/>
  <c r="H228" i="24"/>
  <c r="G228" i="24"/>
  <c r="F228" i="24"/>
  <c r="E228" i="24"/>
  <c r="D228" i="24"/>
  <c r="B228" i="24"/>
  <c r="B232" i="24" s="1"/>
  <c r="H227" i="24"/>
  <c r="I227" i="24" s="1"/>
  <c r="J227" i="24" s="1"/>
  <c r="K227" i="24" s="1"/>
  <c r="L227" i="24" s="1"/>
  <c r="M227" i="24" s="1"/>
  <c r="N227" i="24" s="1"/>
  <c r="O227" i="24" s="1"/>
  <c r="P227" i="24" s="1"/>
  <c r="G227" i="24"/>
  <c r="F227" i="24"/>
  <c r="E227" i="24"/>
  <c r="D227" i="24"/>
  <c r="B227" i="24"/>
  <c r="F226" i="24"/>
  <c r="G226" i="24" s="1"/>
  <c r="E226" i="24"/>
  <c r="E108" i="24" s="1"/>
  <c r="D226" i="24"/>
  <c r="D232" i="24" s="1"/>
  <c r="B226" i="24"/>
  <c r="B108" i="24" s="1"/>
  <c r="AG224" i="24"/>
  <c r="AF224" i="24"/>
  <c r="AE224" i="24"/>
  <c r="AD224" i="24"/>
  <c r="AC224" i="24"/>
  <c r="AB224" i="24"/>
  <c r="AA224" i="24"/>
  <c r="Z224" i="24"/>
  <c r="Y224" i="24"/>
  <c r="X224" i="24"/>
  <c r="W224" i="24"/>
  <c r="V224" i="24"/>
  <c r="U224" i="24"/>
  <c r="T224" i="24"/>
  <c r="S224" i="24"/>
  <c r="R224" i="24"/>
  <c r="Q224" i="24"/>
  <c r="P224" i="24"/>
  <c r="O224" i="24"/>
  <c r="N224" i="24"/>
  <c r="M224" i="24"/>
  <c r="L224" i="24"/>
  <c r="K224" i="24"/>
  <c r="J224" i="24"/>
  <c r="I224" i="24"/>
  <c r="H224" i="24"/>
  <c r="G224" i="24"/>
  <c r="F224" i="24"/>
  <c r="E224" i="24"/>
  <c r="D224" i="24"/>
  <c r="C224" i="24"/>
  <c r="B224" i="24"/>
  <c r="AI117" i="24"/>
  <c r="AH117" i="24"/>
  <c r="AI116" i="24"/>
  <c r="AH116" i="24"/>
  <c r="AI115" i="24"/>
  <c r="AH115" i="24"/>
  <c r="AI114" i="24"/>
  <c r="AH114" i="24"/>
  <c r="AI113" i="24"/>
  <c r="AH113" i="24"/>
  <c r="AI112" i="24"/>
  <c r="AH112" i="24"/>
  <c r="AI111" i="24"/>
  <c r="AH111" i="24"/>
  <c r="AI110" i="24"/>
  <c r="AH110" i="24"/>
  <c r="AI109" i="24"/>
  <c r="AH109" i="24"/>
  <c r="AF108" i="24"/>
  <c r="AE108" i="24"/>
  <c r="AD108" i="24"/>
  <c r="AC108" i="24"/>
  <c r="AB108" i="24"/>
  <c r="Z108" i="24"/>
  <c r="Y108" i="24"/>
  <c r="X108" i="24"/>
  <c r="W108" i="24"/>
  <c r="V108" i="24"/>
  <c r="U108" i="24"/>
  <c r="T108" i="24"/>
  <c r="S108" i="24"/>
  <c r="R108" i="24"/>
  <c r="Q108" i="24"/>
  <c r="C108" i="24"/>
  <c r="AI107" i="24"/>
  <c r="AH107" i="24"/>
  <c r="AI106" i="24"/>
  <c r="AH106" i="24"/>
  <c r="AI105" i="24"/>
  <c r="AH105" i="24"/>
  <c r="AI104" i="24"/>
  <c r="AH104" i="24"/>
  <c r="AI103" i="24"/>
  <c r="AH103" i="24"/>
  <c r="AI102" i="24"/>
  <c r="AH102" i="24"/>
  <c r="AI101" i="24"/>
  <c r="AH101" i="24"/>
  <c r="AI100" i="24"/>
  <c r="AH100" i="24"/>
  <c r="AI99" i="24"/>
  <c r="AH99" i="24"/>
  <c r="AI97" i="24"/>
  <c r="AH97" i="24"/>
  <c r="AI96" i="24"/>
  <c r="AH96" i="24"/>
  <c r="AI95" i="24"/>
  <c r="AH95" i="24"/>
  <c r="AI94" i="24"/>
  <c r="AH94" i="24"/>
  <c r="AI93" i="24"/>
  <c r="AH93" i="24"/>
  <c r="AI92" i="24"/>
  <c r="AH92" i="24"/>
  <c r="AI91" i="24"/>
  <c r="AH91" i="24"/>
  <c r="AI88" i="24"/>
  <c r="AH88" i="24"/>
  <c r="AI86" i="24"/>
  <c r="AH86" i="24"/>
  <c r="AG86" i="24"/>
  <c r="AI85" i="24"/>
  <c r="AH85" i="24"/>
  <c r="AI84" i="24"/>
  <c r="AH84" i="24"/>
  <c r="AI83" i="24"/>
  <c r="AH83" i="24"/>
  <c r="AN82" i="24"/>
  <c r="AG82" i="24"/>
  <c r="AF82" i="24"/>
  <c r="AE5" i="24" s="1"/>
  <c r="AE82" i="24"/>
  <c r="AE98" i="24" s="1"/>
  <c r="AD82" i="24"/>
  <c r="AD98" i="24" s="1"/>
  <c r="AC82" i="24"/>
  <c r="AC98" i="24" s="1"/>
  <c r="AB82" i="24"/>
  <c r="AB98" i="24" s="1"/>
  <c r="Z82" i="24"/>
  <c r="Y5" i="24" s="1"/>
  <c r="Y82" i="24"/>
  <c r="X5" i="24" s="1"/>
  <c r="X82" i="24"/>
  <c r="W5" i="24" s="1"/>
  <c r="W82" i="24"/>
  <c r="W98" i="24" s="1"/>
  <c r="V82" i="24"/>
  <c r="V98" i="24" s="1"/>
  <c r="U82" i="24"/>
  <c r="T5" i="24" s="1"/>
  <c r="T82" i="24"/>
  <c r="T98" i="24" s="1"/>
  <c r="S82" i="24"/>
  <c r="S98" i="24" s="1"/>
  <c r="R82" i="24"/>
  <c r="Q5" i="24" s="1"/>
  <c r="Q82" i="24"/>
  <c r="P5" i="24" s="1"/>
  <c r="P82" i="24"/>
  <c r="O5" i="24" s="1"/>
  <c r="O82" i="24"/>
  <c r="O98" i="24" s="1"/>
  <c r="N82" i="24"/>
  <c r="N98" i="24" s="1"/>
  <c r="M82" i="24"/>
  <c r="M98" i="24" s="1"/>
  <c r="L82" i="24"/>
  <c r="L98" i="24" s="1"/>
  <c r="K82" i="24"/>
  <c r="K98" i="24" s="1"/>
  <c r="J82" i="24"/>
  <c r="I5" i="24" s="1"/>
  <c r="I82" i="24"/>
  <c r="H5" i="24" s="1"/>
  <c r="H82" i="24"/>
  <c r="G5" i="24" s="1"/>
  <c r="G82" i="24"/>
  <c r="G98" i="24" s="1"/>
  <c r="F82" i="24"/>
  <c r="F98" i="24" s="1"/>
  <c r="E82" i="24"/>
  <c r="E98" i="24" s="1"/>
  <c r="D82" i="24"/>
  <c r="D98" i="24" s="1"/>
  <c r="C82" i="24"/>
  <c r="C98" i="24" s="1"/>
  <c r="B82" i="24"/>
  <c r="AF5" i="24" s="1"/>
  <c r="AI81" i="24"/>
  <c r="AH81" i="24"/>
  <c r="AN80" i="24"/>
  <c r="AI80" i="24"/>
  <c r="AH80" i="24"/>
  <c r="AN79" i="24"/>
  <c r="AN81" i="24" s="1"/>
  <c r="AI79" i="24"/>
  <c r="AH79" i="24"/>
  <c r="AI78" i="24"/>
  <c r="AH78" i="24"/>
  <c r="AI77" i="24"/>
  <c r="AH77" i="24"/>
  <c r="AI76" i="24"/>
  <c r="AH76" i="24"/>
  <c r="AI75" i="24"/>
  <c r="AH75" i="24"/>
  <c r="AI74" i="24"/>
  <c r="AH74" i="24"/>
  <c r="AI73" i="24"/>
  <c r="AH73" i="24"/>
  <c r="AI72" i="24"/>
  <c r="AH72" i="24"/>
  <c r="AI71" i="24"/>
  <c r="AH71" i="24"/>
  <c r="AG70" i="24"/>
  <c r="AF70" i="24"/>
  <c r="AE70" i="24"/>
  <c r="AD70" i="24"/>
  <c r="AC70" i="24"/>
  <c r="AB70" i="24"/>
  <c r="Z70" i="24"/>
  <c r="Y70" i="24"/>
  <c r="X70" i="24"/>
  <c r="W70" i="24"/>
  <c r="V70" i="24"/>
  <c r="U70" i="24"/>
  <c r="T70" i="24"/>
  <c r="S70" i="24"/>
  <c r="R70" i="24"/>
  <c r="Q70" i="24"/>
  <c r="P70" i="24"/>
  <c r="O70" i="24"/>
  <c r="M70" i="24"/>
  <c r="L70" i="24"/>
  <c r="B70" i="24"/>
  <c r="AI69" i="24"/>
  <c r="AH69" i="24"/>
  <c r="AI68" i="24"/>
  <c r="AH68" i="24"/>
  <c r="AI67" i="24"/>
  <c r="AH67" i="24"/>
  <c r="AF66" i="24"/>
  <c r="AE66" i="24"/>
  <c r="AD66" i="24"/>
  <c r="AC66" i="24"/>
  <c r="AB66" i="24"/>
  <c r="Z66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AI65" i="24"/>
  <c r="AH65" i="24"/>
  <c r="AI64" i="24"/>
  <c r="AH64" i="24"/>
  <c r="AI63" i="24"/>
  <c r="AH63" i="24"/>
  <c r="AI62" i="24"/>
  <c r="AH62" i="24"/>
  <c r="AI61" i="24"/>
  <c r="AH61" i="24"/>
  <c r="AI60" i="24"/>
  <c r="AH60" i="24"/>
  <c r="AI59" i="24"/>
  <c r="AH59" i="24"/>
  <c r="AI58" i="24"/>
  <c r="AH58" i="24"/>
  <c r="AI57" i="24"/>
  <c r="AH57" i="24"/>
  <c r="AI56" i="24"/>
  <c r="AH56" i="24"/>
  <c r="AI55" i="24"/>
  <c r="AH55" i="24"/>
  <c r="AI54" i="24"/>
  <c r="AH54" i="24"/>
  <c r="AI53" i="24"/>
  <c r="AH53" i="24"/>
  <c r="AG52" i="24"/>
  <c r="AF52" i="24"/>
  <c r="AE52" i="24"/>
  <c r="AD52" i="24"/>
  <c r="AC52" i="24"/>
  <c r="AB52" i="24"/>
  <c r="Z52" i="24"/>
  <c r="Y52" i="24"/>
  <c r="X52" i="24"/>
  <c r="W52" i="24"/>
  <c r="V52" i="24"/>
  <c r="U52" i="24"/>
  <c r="T52" i="24"/>
  <c r="S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AI51" i="24"/>
  <c r="AH51" i="24"/>
  <c r="AI50" i="24"/>
  <c r="AH50" i="24"/>
  <c r="AI49" i="24"/>
  <c r="AH49" i="24"/>
  <c r="AG48" i="24"/>
  <c r="AF48" i="24"/>
  <c r="AE48" i="24"/>
  <c r="AE87" i="24" s="1"/>
  <c r="AE89" i="24" s="1"/>
  <c r="AD48" i="24"/>
  <c r="AC48" i="24"/>
  <c r="AB48" i="24"/>
  <c r="Z48" i="24"/>
  <c r="Y48" i="24"/>
  <c r="X48" i="24"/>
  <c r="V48" i="24"/>
  <c r="U48" i="24"/>
  <c r="T48" i="24"/>
  <c r="S48" i="24"/>
  <c r="R48" i="24"/>
  <c r="Q48" i="24"/>
  <c r="P48" i="24"/>
  <c r="O48" i="24"/>
  <c r="N48" i="24"/>
  <c r="M48" i="24"/>
  <c r="L48" i="24"/>
  <c r="K48" i="24"/>
  <c r="J48" i="24"/>
  <c r="I48" i="24"/>
  <c r="H48" i="24"/>
  <c r="F48" i="24"/>
  <c r="E48" i="24"/>
  <c r="D48" i="24"/>
  <c r="C48" i="24"/>
  <c r="B48" i="24"/>
  <c r="B87" i="24" s="1"/>
  <c r="AI47" i="24"/>
  <c r="AH47" i="24"/>
  <c r="AI46" i="24"/>
  <c r="AH46" i="24"/>
  <c r="AI45" i="24"/>
  <c r="AH45" i="24"/>
  <c r="AI44" i="24"/>
  <c r="AH44" i="24"/>
  <c r="AI43" i="24"/>
  <c r="AH43" i="24"/>
  <c r="AI42" i="24"/>
  <c r="AH42" i="24"/>
  <c r="AI41" i="24"/>
  <c r="AH41" i="24"/>
  <c r="AI40" i="24"/>
  <c r="AH40" i="24"/>
  <c r="AI39" i="24"/>
  <c r="AH39" i="24"/>
  <c r="AI38" i="24"/>
  <c r="AH38" i="24"/>
  <c r="AI37" i="24"/>
  <c r="AH37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AD5" i="24"/>
  <c r="AG4" i="24"/>
  <c r="K4" i="24"/>
  <c r="E4" i="24"/>
  <c r="H4" i="24" s="1"/>
  <c r="B4" i="24"/>
  <c r="S243" i="24" s="1"/>
  <c r="AA111" i="23"/>
  <c r="Z111" i="23"/>
  <c r="Y111" i="23"/>
  <c r="Y48" i="23"/>
  <c r="Y52" i="23"/>
  <c r="X111" i="23"/>
  <c r="W111" i="23"/>
  <c r="W48" i="23"/>
  <c r="V111" i="23"/>
  <c r="T111" i="23"/>
  <c r="S111" i="23"/>
  <c r="P111" i="23"/>
  <c r="O111" i="23"/>
  <c r="AE7" i="25" l="1"/>
  <c r="AX246" i="25"/>
  <c r="AF7" i="25"/>
  <c r="AC90" i="25"/>
  <c r="AB7" i="25"/>
  <c r="AS246" i="25"/>
  <c r="AA7" i="25"/>
  <c r="AP246" i="25"/>
  <c r="X7" i="25"/>
  <c r="V90" i="25"/>
  <c r="AN246" i="25"/>
  <c r="U90" i="25"/>
  <c r="S7" i="25"/>
  <c r="AK246" i="25"/>
  <c r="AF246" i="25"/>
  <c r="N7" i="25"/>
  <c r="AD246" i="25"/>
  <c r="L7" i="25"/>
  <c r="AI98" i="25"/>
  <c r="X246" i="25"/>
  <c r="G90" i="25"/>
  <c r="AE246" i="25"/>
  <c r="M7" i="25"/>
  <c r="J90" i="25"/>
  <c r="Z246" i="25"/>
  <c r="H7" i="25"/>
  <c r="AC246" i="25"/>
  <c r="K7" i="25"/>
  <c r="AA246" i="25"/>
  <c r="J7" i="25"/>
  <c r="W246" i="25"/>
  <c r="V246" i="25"/>
  <c r="I90" i="25"/>
  <c r="AH98" i="25"/>
  <c r="B241" i="25"/>
  <c r="C241" i="25"/>
  <c r="G7" i="25"/>
  <c r="D7" i="25"/>
  <c r="AH87" i="25"/>
  <c r="E7" i="25"/>
  <c r="AI87" i="25"/>
  <c r="E108" i="25"/>
  <c r="F226" i="25"/>
  <c r="E232" i="25"/>
  <c r="T246" i="25"/>
  <c r="B90" i="25"/>
  <c r="AI89" i="25"/>
  <c r="AH89" i="25"/>
  <c r="B7" i="25"/>
  <c r="F231" i="25"/>
  <c r="D267" i="25"/>
  <c r="AF98" i="24"/>
  <c r="AF87" i="24"/>
  <c r="AF89" i="24" s="1"/>
  <c r="AC5" i="24"/>
  <c r="AD87" i="24"/>
  <c r="AD89" i="24" s="1"/>
  <c r="AC87" i="24"/>
  <c r="AC89" i="24" s="1"/>
  <c r="AA5" i="24"/>
  <c r="AB5" i="24"/>
  <c r="AB87" i="24"/>
  <c r="AB89" i="24" s="1"/>
  <c r="Z98" i="24"/>
  <c r="Z87" i="24"/>
  <c r="Z89" i="24" s="1"/>
  <c r="Y98" i="24"/>
  <c r="Y87" i="24"/>
  <c r="Y89" i="24" s="1"/>
  <c r="X98" i="24"/>
  <c r="X87" i="24"/>
  <c r="X89" i="24" s="1"/>
  <c r="V5" i="24"/>
  <c r="W87" i="24"/>
  <c r="W89" i="24" s="1"/>
  <c r="U5" i="24"/>
  <c r="V87" i="24"/>
  <c r="V89" i="24" s="1"/>
  <c r="U98" i="24"/>
  <c r="U87" i="24"/>
  <c r="U89" i="24" s="1"/>
  <c r="S5" i="24"/>
  <c r="T87" i="24"/>
  <c r="T89" i="24" s="1"/>
  <c r="S87" i="24"/>
  <c r="S89" i="24" s="1"/>
  <c r="R98" i="24"/>
  <c r="R87" i="24"/>
  <c r="R89" i="24" s="1"/>
  <c r="Q98" i="24"/>
  <c r="Q87" i="24"/>
  <c r="Q89" i="24" s="1"/>
  <c r="P98" i="24"/>
  <c r="AI70" i="24"/>
  <c r="P87" i="24"/>
  <c r="P89" i="24" s="1"/>
  <c r="N5" i="24"/>
  <c r="O87" i="24"/>
  <c r="O89" i="24" s="1"/>
  <c r="M5" i="24"/>
  <c r="N87" i="24"/>
  <c r="N89" i="24" s="1"/>
  <c r="L5" i="24"/>
  <c r="M87" i="24"/>
  <c r="M89" i="24" s="1"/>
  <c r="M90" i="24" s="1"/>
  <c r="L87" i="24"/>
  <c r="L89" i="24" s="1"/>
  <c r="L90" i="24" s="1"/>
  <c r="K5" i="24"/>
  <c r="K87" i="24"/>
  <c r="K89" i="24" s="1"/>
  <c r="J87" i="24"/>
  <c r="J89" i="24" s="1"/>
  <c r="J7" i="24" s="1"/>
  <c r="I98" i="24"/>
  <c r="I87" i="24"/>
  <c r="I89" i="24" s="1"/>
  <c r="I90" i="24" s="1"/>
  <c r="H98" i="24"/>
  <c r="H87" i="24"/>
  <c r="H89" i="24" s="1"/>
  <c r="H90" i="24" s="1"/>
  <c r="F5" i="24"/>
  <c r="G87" i="24"/>
  <c r="G89" i="24" s="1"/>
  <c r="Y246" i="24" s="1"/>
  <c r="E5" i="24"/>
  <c r="F87" i="24"/>
  <c r="F89" i="24" s="1"/>
  <c r="X246" i="24" s="1"/>
  <c r="D5" i="24"/>
  <c r="E87" i="24"/>
  <c r="E89" i="24" s="1"/>
  <c r="E90" i="24" s="1"/>
  <c r="C5" i="24"/>
  <c r="AH52" i="24"/>
  <c r="D87" i="24"/>
  <c r="D89" i="24" s="1"/>
  <c r="D90" i="24" s="1"/>
  <c r="C87" i="24"/>
  <c r="C89" i="24" s="1"/>
  <c r="C90" i="24" s="1"/>
  <c r="AH66" i="24"/>
  <c r="AI66" i="24"/>
  <c r="N7" i="24"/>
  <c r="AF246" i="24"/>
  <c r="N90" i="24"/>
  <c r="AD7" i="24"/>
  <c r="AV246" i="24"/>
  <c r="AD90" i="24"/>
  <c r="AG246" i="24"/>
  <c r="O90" i="24"/>
  <c r="O7" i="24"/>
  <c r="H226" i="24"/>
  <c r="G232" i="24"/>
  <c r="G108" i="24"/>
  <c r="K7" i="24"/>
  <c r="K90" i="24"/>
  <c r="AC246" i="24"/>
  <c r="S90" i="24"/>
  <c r="S7" i="24"/>
  <c r="AK246" i="24"/>
  <c r="AS246" i="24"/>
  <c r="AA7" i="24"/>
  <c r="AO246" i="24"/>
  <c r="W90" i="24"/>
  <c r="W7" i="24"/>
  <c r="AW246" i="24"/>
  <c r="AE90" i="24"/>
  <c r="AE7" i="24"/>
  <c r="E7" i="24"/>
  <c r="W246" i="24"/>
  <c r="AG89" i="24"/>
  <c r="J90" i="24"/>
  <c r="AB246" i="24"/>
  <c r="V7" i="24"/>
  <c r="AN246" i="24"/>
  <c r="V90" i="24"/>
  <c r="R90" i="24"/>
  <c r="R7" i="24"/>
  <c r="AJ246" i="24"/>
  <c r="B89" i="24"/>
  <c r="X90" i="24"/>
  <c r="X7" i="24"/>
  <c r="AP246" i="24"/>
  <c r="AD246" i="24"/>
  <c r="T90" i="24"/>
  <c r="T7" i="24"/>
  <c r="AL246" i="24"/>
  <c r="AB90" i="24"/>
  <c r="AB7" i="24"/>
  <c r="AT246" i="24"/>
  <c r="J229" i="24"/>
  <c r="K229" i="24" s="1"/>
  <c r="L229" i="24" s="1"/>
  <c r="M229" i="24" s="1"/>
  <c r="N229" i="24" s="1"/>
  <c r="O229" i="24" s="1"/>
  <c r="P229" i="24" s="1"/>
  <c r="Z90" i="24"/>
  <c r="AR246" i="24"/>
  <c r="Z7" i="24"/>
  <c r="P90" i="24"/>
  <c r="P7" i="24"/>
  <c r="AH246" i="24"/>
  <c r="AF90" i="24"/>
  <c r="AF7" i="24"/>
  <c r="AX246" i="24"/>
  <c r="Q7" i="24"/>
  <c r="AI246" i="24"/>
  <c r="Q90" i="24"/>
  <c r="Y90" i="24"/>
  <c r="Y7" i="24"/>
  <c r="AQ246" i="24"/>
  <c r="AG87" i="24"/>
  <c r="U7" i="24"/>
  <c r="AM246" i="24"/>
  <c r="U90" i="24"/>
  <c r="AC7" i="24"/>
  <c r="AU246" i="24"/>
  <c r="AC90" i="24"/>
  <c r="J98" i="24"/>
  <c r="AI52" i="24"/>
  <c r="AH70" i="24"/>
  <c r="E232" i="24"/>
  <c r="D243" i="24"/>
  <c r="B5" i="24"/>
  <c r="J5" i="24"/>
  <c r="R5" i="24"/>
  <c r="Z5" i="24"/>
  <c r="D108" i="24"/>
  <c r="F232" i="24"/>
  <c r="AH48" i="24"/>
  <c r="AI82" i="24"/>
  <c r="AG2" i="24"/>
  <c r="AG6" i="24" s="1"/>
  <c r="AH82" i="24"/>
  <c r="F108" i="24"/>
  <c r="B98" i="24"/>
  <c r="AI48" i="24"/>
  <c r="I231" i="24"/>
  <c r="A7" i="25" l="1"/>
  <c r="K6" i="25"/>
  <c r="AI90" i="25"/>
  <c r="AH90" i="25"/>
  <c r="E267" i="25"/>
  <c r="G231" i="25"/>
  <c r="G226" i="25"/>
  <c r="F108" i="25"/>
  <c r="F232" i="25"/>
  <c r="AE246" i="24"/>
  <c r="M7" i="24"/>
  <c r="L7" i="24"/>
  <c r="C7" i="24"/>
  <c r="U246" i="24"/>
  <c r="F7" i="24"/>
  <c r="F90" i="24"/>
  <c r="C241" i="24"/>
  <c r="AA246" i="24"/>
  <c r="I7" i="24"/>
  <c r="B241" i="24"/>
  <c r="Z246" i="24"/>
  <c r="H7" i="24"/>
  <c r="G7" i="24"/>
  <c r="G90" i="24"/>
  <c r="V246" i="24"/>
  <c r="D7" i="24"/>
  <c r="AI87" i="24"/>
  <c r="AH87" i="24"/>
  <c r="AI89" i="24"/>
  <c r="B90" i="24"/>
  <c r="B7" i="24"/>
  <c r="AH89" i="24"/>
  <c r="T246" i="24"/>
  <c r="I226" i="24"/>
  <c r="H108" i="24"/>
  <c r="H232" i="24"/>
  <c r="H267" i="24"/>
  <c r="J231" i="24"/>
  <c r="AI98" i="24"/>
  <c r="AH98" i="24"/>
  <c r="G232" i="25" l="1"/>
  <c r="H226" i="25"/>
  <c r="G108" i="25"/>
  <c r="F267" i="25"/>
  <c r="H231" i="25"/>
  <c r="K6" i="24"/>
  <c r="A7" i="24"/>
  <c r="AI90" i="24"/>
  <c r="AH90" i="24"/>
  <c r="K231" i="24"/>
  <c r="I267" i="24"/>
  <c r="I108" i="24"/>
  <c r="J226" i="24"/>
  <c r="G267" i="25" l="1"/>
  <c r="I231" i="25"/>
  <c r="I226" i="25"/>
  <c r="H108" i="25"/>
  <c r="H232" i="25"/>
  <c r="J267" i="24"/>
  <c r="L231" i="24"/>
  <c r="J108" i="24"/>
  <c r="K226" i="24"/>
  <c r="I108" i="25" l="1"/>
  <c r="J226" i="25"/>
  <c r="H267" i="25"/>
  <c r="J231" i="25"/>
  <c r="L226" i="24"/>
  <c r="K108" i="24"/>
  <c r="K267" i="24"/>
  <c r="M231" i="24"/>
  <c r="K231" i="25" l="1"/>
  <c r="I267" i="25"/>
  <c r="J108" i="25"/>
  <c r="K226" i="25"/>
  <c r="L267" i="24"/>
  <c r="N231" i="24"/>
  <c r="M226" i="24"/>
  <c r="L108" i="24"/>
  <c r="M111" i="23"/>
  <c r="L226" i="25" l="1"/>
  <c r="K108" i="25"/>
  <c r="J267" i="25"/>
  <c r="L231" i="25"/>
  <c r="N226" i="24"/>
  <c r="M108" i="24"/>
  <c r="M267" i="24"/>
  <c r="O231" i="24"/>
  <c r="K267" i="25" l="1"/>
  <c r="M231" i="25"/>
  <c r="M226" i="25"/>
  <c r="L108" i="25"/>
  <c r="N267" i="24"/>
  <c r="P231" i="24"/>
  <c r="O267" i="24" s="1"/>
  <c r="O226" i="24"/>
  <c r="N108" i="24"/>
  <c r="M108" i="25" l="1"/>
  <c r="N226" i="25"/>
  <c r="N231" i="25"/>
  <c r="L267" i="25"/>
  <c r="P226" i="24"/>
  <c r="O108" i="24"/>
  <c r="M267" i="25" l="1"/>
  <c r="O231" i="25"/>
  <c r="O226" i="25"/>
  <c r="N108" i="25"/>
  <c r="AH108" i="24"/>
  <c r="AI108" i="24"/>
  <c r="P226" i="25" l="1"/>
  <c r="O108" i="25"/>
  <c r="N267" i="25"/>
  <c r="P231" i="25"/>
  <c r="O267" i="25" s="1"/>
  <c r="AI108" i="25" l="1"/>
  <c r="AH108" i="25"/>
  <c r="AF271" i="23" l="1"/>
  <c r="AE271" i="23"/>
  <c r="AD271" i="23"/>
  <c r="AC271" i="23"/>
  <c r="AB271" i="23"/>
  <c r="AA271" i="23"/>
  <c r="Z271" i="23"/>
  <c r="Y271" i="23"/>
  <c r="X271" i="23"/>
  <c r="W271" i="23"/>
  <c r="V271" i="23"/>
  <c r="U271" i="23"/>
  <c r="T271" i="23"/>
  <c r="S271" i="23"/>
  <c r="R271" i="23"/>
  <c r="Q271" i="23"/>
  <c r="P271" i="23"/>
  <c r="O271" i="23"/>
  <c r="N271" i="23"/>
  <c r="M271" i="23"/>
  <c r="L271" i="23"/>
  <c r="K271" i="23"/>
  <c r="J271" i="23"/>
  <c r="I271" i="23"/>
  <c r="H271" i="23"/>
  <c r="G271" i="23"/>
  <c r="F271" i="23"/>
  <c r="E271" i="23"/>
  <c r="D271" i="23"/>
  <c r="C271" i="23"/>
  <c r="B271" i="23"/>
  <c r="A271" i="23"/>
  <c r="AF270" i="23"/>
  <c r="AE270" i="23"/>
  <c r="AD270" i="23"/>
  <c r="AC270" i="23"/>
  <c r="AB270" i="23"/>
  <c r="AA270" i="23"/>
  <c r="Z270" i="23"/>
  <c r="Y270" i="23"/>
  <c r="X270" i="23"/>
  <c r="W270" i="23"/>
  <c r="V270" i="23"/>
  <c r="U270" i="23"/>
  <c r="T270" i="23"/>
  <c r="S270" i="23"/>
  <c r="R270" i="23"/>
  <c r="Q270" i="23"/>
  <c r="P270" i="23"/>
  <c r="O270" i="23"/>
  <c r="N270" i="23"/>
  <c r="M270" i="23"/>
  <c r="L270" i="23"/>
  <c r="K270" i="23"/>
  <c r="J270" i="23"/>
  <c r="I270" i="23"/>
  <c r="H270" i="23"/>
  <c r="G270" i="23"/>
  <c r="F270" i="23"/>
  <c r="E270" i="23"/>
  <c r="D270" i="23"/>
  <c r="C270" i="23"/>
  <c r="B270" i="23"/>
  <c r="A270" i="23"/>
  <c r="AF269" i="23"/>
  <c r="AE269" i="23"/>
  <c r="AD269" i="23"/>
  <c r="AC269" i="23"/>
  <c r="AB269" i="23"/>
  <c r="AA269" i="23"/>
  <c r="Z269" i="23"/>
  <c r="Y269" i="23"/>
  <c r="X269" i="23"/>
  <c r="W269" i="23"/>
  <c r="V269" i="23"/>
  <c r="U269" i="23"/>
  <c r="T269" i="23"/>
  <c r="S269" i="23"/>
  <c r="R269" i="23"/>
  <c r="Q269" i="23"/>
  <c r="P269" i="23"/>
  <c r="O269" i="23"/>
  <c r="N269" i="23"/>
  <c r="M269" i="23"/>
  <c r="L269" i="23"/>
  <c r="K269" i="23"/>
  <c r="J269" i="23"/>
  <c r="I269" i="23"/>
  <c r="H269" i="23"/>
  <c r="G269" i="23"/>
  <c r="F269" i="23"/>
  <c r="E269" i="23"/>
  <c r="D269" i="23"/>
  <c r="C269" i="23"/>
  <c r="B269" i="23"/>
  <c r="A269" i="23"/>
  <c r="AF268" i="23"/>
  <c r="AE268" i="23"/>
  <c r="AD268" i="23"/>
  <c r="AC268" i="23"/>
  <c r="AB268" i="23"/>
  <c r="AA268" i="23"/>
  <c r="Z268" i="23"/>
  <c r="Y268" i="23"/>
  <c r="X268" i="23"/>
  <c r="W268" i="23"/>
  <c r="V268" i="23"/>
  <c r="U268" i="23"/>
  <c r="T268" i="23"/>
  <c r="S268" i="23"/>
  <c r="R268" i="23"/>
  <c r="Q268" i="23"/>
  <c r="P268" i="23"/>
  <c r="O268" i="23"/>
  <c r="N268" i="23"/>
  <c r="M268" i="23"/>
  <c r="L268" i="23"/>
  <c r="K268" i="23"/>
  <c r="J268" i="23"/>
  <c r="I268" i="23"/>
  <c r="H268" i="23"/>
  <c r="G268" i="23"/>
  <c r="F268" i="23"/>
  <c r="E268" i="23"/>
  <c r="D268" i="23"/>
  <c r="C268" i="23"/>
  <c r="B268" i="23"/>
  <c r="A268" i="23"/>
  <c r="AE267" i="23"/>
  <c r="AD267" i="23"/>
  <c r="AC267" i="23"/>
  <c r="AB267" i="23"/>
  <c r="AA267" i="23"/>
  <c r="Z267" i="23"/>
  <c r="Y267" i="23"/>
  <c r="X267" i="23"/>
  <c r="W267" i="23"/>
  <c r="V267" i="23"/>
  <c r="U267" i="23"/>
  <c r="T267" i="23"/>
  <c r="S267" i="23"/>
  <c r="R267" i="23"/>
  <c r="Q267" i="23"/>
  <c r="P267" i="23"/>
  <c r="B267" i="23"/>
  <c r="S242" i="23"/>
  <c r="AG232" i="23"/>
  <c r="AG65" i="23" s="1"/>
  <c r="AG66" i="23" s="1"/>
  <c r="AG3" i="23" s="1"/>
  <c r="AF232" i="23"/>
  <c r="AE232" i="23"/>
  <c r="AD232" i="23"/>
  <c r="AC232" i="23"/>
  <c r="AB232" i="23"/>
  <c r="AA232" i="23"/>
  <c r="Z232" i="23"/>
  <c r="Y232" i="23"/>
  <c r="X232" i="23"/>
  <c r="W232" i="23"/>
  <c r="V232" i="23"/>
  <c r="U232" i="23"/>
  <c r="T232" i="23"/>
  <c r="S232" i="23"/>
  <c r="R232" i="23"/>
  <c r="Q232" i="23"/>
  <c r="C232" i="23"/>
  <c r="E231" i="23"/>
  <c r="D267" i="23" s="1"/>
  <c r="D231" i="23"/>
  <c r="C267" i="23" s="1"/>
  <c r="B231" i="23"/>
  <c r="AF267" i="23" s="1"/>
  <c r="E230" i="23"/>
  <c r="F230" i="23" s="1"/>
  <c r="G230" i="23" s="1"/>
  <c r="H230" i="23" s="1"/>
  <c r="I230" i="23" s="1"/>
  <c r="J230" i="23" s="1"/>
  <c r="K230" i="23" s="1"/>
  <c r="L230" i="23" s="1"/>
  <c r="M230" i="23" s="1"/>
  <c r="N230" i="23" s="1"/>
  <c r="O230" i="23" s="1"/>
  <c r="P230" i="23" s="1"/>
  <c r="D230" i="23"/>
  <c r="B230" i="23"/>
  <c r="D229" i="23"/>
  <c r="D232" i="23" s="1"/>
  <c r="B229" i="23"/>
  <c r="E228" i="23"/>
  <c r="F228" i="23" s="1"/>
  <c r="G228" i="23" s="1"/>
  <c r="H228" i="23" s="1"/>
  <c r="D228" i="23"/>
  <c r="B228" i="23"/>
  <c r="E227" i="23"/>
  <c r="F227" i="23" s="1"/>
  <c r="G227" i="23" s="1"/>
  <c r="H227" i="23" s="1"/>
  <c r="I227" i="23" s="1"/>
  <c r="J227" i="23" s="1"/>
  <c r="K227" i="23" s="1"/>
  <c r="L227" i="23" s="1"/>
  <c r="M227" i="23" s="1"/>
  <c r="N227" i="23" s="1"/>
  <c r="O227" i="23" s="1"/>
  <c r="P227" i="23" s="1"/>
  <c r="D227" i="23"/>
  <c r="B227" i="23"/>
  <c r="E226" i="23"/>
  <c r="E108" i="23" s="1"/>
  <c r="D226" i="23"/>
  <c r="B226" i="23"/>
  <c r="B108" i="23" s="1"/>
  <c r="AG224" i="23"/>
  <c r="AF224" i="23"/>
  <c r="AE224" i="23"/>
  <c r="AD224" i="23"/>
  <c r="AC224" i="23"/>
  <c r="AB224" i="23"/>
  <c r="AA224" i="23"/>
  <c r="Z224" i="23"/>
  <c r="Y224" i="23"/>
  <c r="X224" i="23"/>
  <c r="W224" i="23"/>
  <c r="V224" i="23"/>
  <c r="U224" i="23"/>
  <c r="T224" i="23"/>
  <c r="S224" i="23"/>
  <c r="R224" i="23"/>
  <c r="Q224" i="23"/>
  <c r="P224" i="23"/>
  <c r="O224" i="23"/>
  <c r="N224" i="23"/>
  <c r="M224" i="23"/>
  <c r="L224" i="23"/>
  <c r="K224" i="23"/>
  <c r="J224" i="23"/>
  <c r="I224" i="23"/>
  <c r="H224" i="23"/>
  <c r="G224" i="23"/>
  <c r="F224" i="23"/>
  <c r="E224" i="23"/>
  <c r="D224" i="23"/>
  <c r="C224" i="23"/>
  <c r="B224" i="23"/>
  <c r="AI117" i="23"/>
  <c r="AH117" i="23"/>
  <c r="AI116" i="23"/>
  <c r="AH116" i="23"/>
  <c r="AI115" i="23"/>
  <c r="AH115" i="23"/>
  <c r="AI114" i="23"/>
  <c r="AH114" i="23"/>
  <c r="AI113" i="23"/>
  <c r="AH113" i="23"/>
  <c r="AI112" i="23"/>
  <c r="AH112" i="23"/>
  <c r="AI111" i="23"/>
  <c r="AH111" i="23"/>
  <c r="AI110" i="23"/>
  <c r="AH110" i="23"/>
  <c r="AI109" i="23"/>
  <c r="AH109" i="23"/>
  <c r="AF108" i="23"/>
  <c r="AE108" i="23"/>
  <c r="AD108" i="23"/>
  <c r="AC108" i="23"/>
  <c r="AB108" i="23"/>
  <c r="Z108" i="23"/>
  <c r="Y108" i="23"/>
  <c r="X108" i="23"/>
  <c r="W108" i="23"/>
  <c r="V108" i="23"/>
  <c r="U108" i="23"/>
  <c r="T108" i="23"/>
  <c r="S108" i="23"/>
  <c r="R108" i="23"/>
  <c r="Q108" i="23"/>
  <c r="D108" i="23"/>
  <c r="C108" i="23"/>
  <c r="AI107" i="23"/>
  <c r="AH107" i="23"/>
  <c r="AI106" i="23"/>
  <c r="AH106" i="23"/>
  <c r="AI105" i="23"/>
  <c r="AH105" i="23"/>
  <c r="AI104" i="23"/>
  <c r="AH104" i="23"/>
  <c r="AI103" i="23"/>
  <c r="AH103" i="23"/>
  <c r="AI102" i="23"/>
  <c r="AH102" i="23"/>
  <c r="AI101" i="23"/>
  <c r="AH101" i="23"/>
  <c r="AI100" i="23"/>
  <c r="AH100" i="23"/>
  <c r="AI99" i="23"/>
  <c r="AH99" i="23"/>
  <c r="AI97" i="23"/>
  <c r="AH97" i="23"/>
  <c r="AI96" i="23"/>
  <c r="AH96" i="23"/>
  <c r="AI95" i="23"/>
  <c r="AH95" i="23"/>
  <c r="AI94" i="23"/>
  <c r="AH94" i="23"/>
  <c r="AI93" i="23"/>
  <c r="AH93" i="23"/>
  <c r="AI92" i="23"/>
  <c r="AH92" i="23"/>
  <c r="AI91" i="23"/>
  <c r="AH91" i="23"/>
  <c r="AI88" i="23"/>
  <c r="AH88" i="23"/>
  <c r="AI86" i="23"/>
  <c r="AH86" i="23"/>
  <c r="AG86" i="23"/>
  <c r="AG89" i="23" s="1"/>
  <c r="AI85" i="23"/>
  <c r="AH85" i="23"/>
  <c r="AI84" i="23"/>
  <c r="AH84" i="23"/>
  <c r="AI83" i="23"/>
  <c r="AH83" i="23"/>
  <c r="AN82" i="23"/>
  <c r="AG82" i="23"/>
  <c r="AF82" i="23"/>
  <c r="AE5" i="23" s="1"/>
  <c r="AE82" i="23"/>
  <c r="AE98" i="23" s="1"/>
  <c r="AD82" i="23"/>
  <c r="AD98" i="23" s="1"/>
  <c r="AC82" i="23"/>
  <c r="AC98" i="23" s="1"/>
  <c r="AB82" i="23"/>
  <c r="AB98" i="23" s="1"/>
  <c r="Z82" i="23"/>
  <c r="Y5" i="23" s="1"/>
  <c r="Y82" i="23"/>
  <c r="X5" i="23" s="1"/>
  <c r="X82" i="23"/>
  <c r="W5" i="23" s="1"/>
  <c r="W82" i="23"/>
  <c r="W98" i="23" s="1"/>
  <c r="V82" i="23"/>
  <c r="V98" i="23" s="1"/>
  <c r="U82" i="23"/>
  <c r="U98" i="23" s="1"/>
  <c r="T82" i="23"/>
  <c r="T98" i="23" s="1"/>
  <c r="S82" i="23"/>
  <c r="S98" i="23" s="1"/>
  <c r="R82" i="23"/>
  <c r="R98" i="23" s="1"/>
  <c r="Q82" i="23"/>
  <c r="Q98" i="23" s="1"/>
  <c r="P82" i="23"/>
  <c r="O5" i="23" s="1"/>
  <c r="O82" i="23"/>
  <c r="O98" i="23" s="1"/>
  <c r="N82" i="23"/>
  <c r="N98" i="23" s="1"/>
  <c r="M82" i="23"/>
  <c r="M98" i="23" s="1"/>
  <c r="L82" i="23"/>
  <c r="L98" i="23" s="1"/>
  <c r="K82" i="23"/>
  <c r="K98" i="23" s="1"/>
  <c r="J82" i="23"/>
  <c r="I5" i="23" s="1"/>
  <c r="I82" i="23"/>
  <c r="I98" i="23" s="1"/>
  <c r="H82" i="23"/>
  <c r="G5" i="23" s="1"/>
  <c r="G82" i="23"/>
  <c r="G98" i="23" s="1"/>
  <c r="F82" i="23"/>
  <c r="F98" i="23" s="1"/>
  <c r="E82" i="23"/>
  <c r="E98" i="23" s="1"/>
  <c r="D82" i="23"/>
  <c r="D98" i="23" s="1"/>
  <c r="C82" i="23"/>
  <c r="C98" i="23" s="1"/>
  <c r="B82" i="23"/>
  <c r="AF5" i="23" s="1"/>
  <c r="AI81" i="23"/>
  <c r="AH81" i="23"/>
  <c r="AN80" i="23"/>
  <c r="AI80" i="23"/>
  <c r="AH80" i="23"/>
  <c r="AN79" i="23"/>
  <c r="AN81" i="23" s="1"/>
  <c r="AI79" i="23"/>
  <c r="AH79" i="23"/>
  <c r="AI78" i="23"/>
  <c r="AH78" i="23"/>
  <c r="AI77" i="23"/>
  <c r="AH77" i="23"/>
  <c r="AI76" i="23"/>
  <c r="AH76" i="23"/>
  <c r="AI75" i="23"/>
  <c r="AH75" i="23"/>
  <c r="AI74" i="23"/>
  <c r="AH74" i="23"/>
  <c r="AI73" i="23"/>
  <c r="AH73" i="23"/>
  <c r="AI72" i="23"/>
  <c r="AH72" i="23"/>
  <c r="AI71" i="23"/>
  <c r="AH71" i="23"/>
  <c r="AG70" i="23"/>
  <c r="AF70" i="23"/>
  <c r="AE70" i="23"/>
  <c r="AD70" i="23"/>
  <c r="AC70" i="23"/>
  <c r="AB70" i="23"/>
  <c r="Z70" i="23"/>
  <c r="Y70" i="23"/>
  <c r="X70" i="23"/>
  <c r="W70" i="23"/>
  <c r="V70" i="23"/>
  <c r="U70" i="23"/>
  <c r="T70" i="23"/>
  <c r="S70" i="23"/>
  <c r="R70" i="23"/>
  <c r="Q70" i="23"/>
  <c r="P70" i="23"/>
  <c r="O70" i="23"/>
  <c r="N70" i="23"/>
  <c r="M70" i="23"/>
  <c r="L70" i="23"/>
  <c r="B70" i="23"/>
  <c r="AI69" i="23"/>
  <c r="AH69" i="23"/>
  <c r="AI68" i="23"/>
  <c r="AH68" i="23"/>
  <c r="AI67" i="23"/>
  <c r="AH67" i="23"/>
  <c r="AF66" i="23"/>
  <c r="AE66" i="23"/>
  <c r="AD66" i="23"/>
  <c r="AC66" i="23"/>
  <c r="AB66" i="23"/>
  <c r="Z66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AI65" i="23"/>
  <c r="AH65" i="23"/>
  <c r="AI64" i="23"/>
  <c r="AH64" i="23"/>
  <c r="AI63" i="23"/>
  <c r="AH63" i="23"/>
  <c r="AI62" i="23"/>
  <c r="AH62" i="23"/>
  <c r="AI61" i="23"/>
  <c r="AH61" i="23"/>
  <c r="AI60" i="23"/>
  <c r="AH60" i="23"/>
  <c r="AI59" i="23"/>
  <c r="AH59" i="23"/>
  <c r="AI58" i="23"/>
  <c r="AH58" i="23"/>
  <c r="AI57" i="23"/>
  <c r="AH57" i="23"/>
  <c r="AI56" i="23"/>
  <c r="AH56" i="23"/>
  <c r="AI55" i="23"/>
  <c r="AH55" i="23"/>
  <c r="AI54" i="23"/>
  <c r="AH54" i="23"/>
  <c r="AI53" i="23"/>
  <c r="AH53" i="23"/>
  <c r="AG52" i="23"/>
  <c r="AF52" i="23"/>
  <c r="AE52" i="23"/>
  <c r="AD52" i="23"/>
  <c r="AC52" i="23"/>
  <c r="AB52" i="23"/>
  <c r="Z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AI51" i="23"/>
  <c r="AH51" i="23"/>
  <c r="AI50" i="23"/>
  <c r="AH50" i="23"/>
  <c r="AI49" i="23"/>
  <c r="AH49" i="23"/>
  <c r="AG48" i="23"/>
  <c r="AF48" i="23"/>
  <c r="AE48" i="23"/>
  <c r="AD48" i="23"/>
  <c r="AC48" i="23"/>
  <c r="AB48" i="23"/>
  <c r="Z48" i="23"/>
  <c r="X48" i="23"/>
  <c r="V48" i="23"/>
  <c r="U48" i="23"/>
  <c r="T48" i="23"/>
  <c r="S48" i="23"/>
  <c r="R48" i="23"/>
  <c r="Q48" i="23"/>
  <c r="P48" i="23"/>
  <c r="O48" i="23"/>
  <c r="N48" i="23"/>
  <c r="M48" i="23"/>
  <c r="L48" i="23"/>
  <c r="K48" i="23"/>
  <c r="J48" i="23"/>
  <c r="I48" i="23"/>
  <c r="H48" i="23"/>
  <c r="G48" i="23"/>
  <c r="F48" i="23"/>
  <c r="E48" i="23"/>
  <c r="D48" i="23"/>
  <c r="C48" i="23"/>
  <c r="B48" i="23"/>
  <c r="AI47" i="23"/>
  <c r="AH47" i="23"/>
  <c r="AI46" i="23"/>
  <c r="AH46" i="23"/>
  <c r="AI45" i="23"/>
  <c r="AH45" i="23"/>
  <c r="AI44" i="23"/>
  <c r="AH44" i="23"/>
  <c r="AI43" i="23"/>
  <c r="AH43" i="23"/>
  <c r="AI42" i="23"/>
  <c r="AH42" i="23"/>
  <c r="AI41" i="23"/>
  <c r="AH41" i="23"/>
  <c r="AI40" i="23"/>
  <c r="AH40" i="23"/>
  <c r="AI39" i="23"/>
  <c r="AH39" i="23"/>
  <c r="AI38" i="23"/>
  <c r="AH38" i="23"/>
  <c r="AI37" i="23"/>
  <c r="AH37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3" i="23"/>
  <c r="AH13" i="23"/>
  <c r="AI12" i="23"/>
  <c r="AH12" i="23"/>
  <c r="AI11" i="23"/>
  <c r="AH11" i="23"/>
  <c r="Z5" i="23"/>
  <c r="T5" i="23"/>
  <c r="P5" i="23"/>
  <c r="AG4" i="23"/>
  <c r="K4" i="23"/>
  <c r="E4" i="23"/>
  <c r="H4" i="23" s="1"/>
  <c r="B4" i="23"/>
  <c r="D243" i="23" s="1"/>
  <c r="Z108" i="22"/>
  <c r="Z98" i="22"/>
  <c r="Z90" i="22"/>
  <c r="Z89" i="22"/>
  <c r="Z87" i="22"/>
  <c r="Z82" i="22"/>
  <c r="Z70" i="22"/>
  <c r="Z66" i="22"/>
  <c r="Z52" i="22"/>
  <c r="Z48" i="22"/>
  <c r="X48" i="22"/>
  <c r="X52" i="22"/>
  <c r="AF87" i="23" l="1"/>
  <c r="AF89" i="23" s="1"/>
  <c r="AE87" i="23"/>
  <c r="AE89" i="23" s="1"/>
  <c r="AD5" i="23"/>
  <c r="AC5" i="23"/>
  <c r="AD87" i="23"/>
  <c r="AD89" i="23" s="1"/>
  <c r="AD7" i="23" s="1"/>
  <c r="AB5" i="23"/>
  <c r="AC87" i="23"/>
  <c r="AC89" i="23" s="1"/>
  <c r="AU246" i="23" s="1"/>
  <c r="AA5" i="23"/>
  <c r="AB87" i="23"/>
  <c r="AB89" i="23" s="1"/>
  <c r="AB90" i="23" s="1"/>
  <c r="Z87" i="23"/>
  <c r="Z89" i="23" s="1"/>
  <c r="Z90" i="23" s="1"/>
  <c r="Y98" i="23"/>
  <c r="Y87" i="23"/>
  <c r="Y89" i="23" s="1"/>
  <c r="Y7" i="23" s="1"/>
  <c r="X87" i="23"/>
  <c r="X89" i="23" s="1"/>
  <c r="V5" i="23"/>
  <c r="W87" i="23"/>
  <c r="W89" i="23" s="1"/>
  <c r="W7" i="23" s="1"/>
  <c r="U5" i="23"/>
  <c r="V87" i="23"/>
  <c r="V89" i="23" s="1"/>
  <c r="V7" i="23" s="1"/>
  <c r="U87" i="23"/>
  <c r="U89" i="23" s="1"/>
  <c r="S5" i="23"/>
  <c r="T87" i="23"/>
  <c r="T89" i="23" s="1"/>
  <c r="T90" i="23" s="1"/>
  <c r="S87" i="23"/>
  <c r="S89" i="23" s="1"/>
  <c r="R5" i="23"/>
  <c r="R87" i="23"/>
  <c r="R89" i="23" s="1"/>
  <c r="AJ246" i="23" s="1"/>
  <c r="Q87" i="23"/>
  <c r="Q89" i="23" s="1"/>
  <c r="AI70" i="23"/>
  <c r="P87" i="23"/>
  <c r="P89" i="23" s="1"/>
  <c r="AH246" i="23" s="1"/>
  <c r="N5" i="23"/>
  <c r="O87" i="23"/>
  <c r="O89" i="23" s="1"/>
  <c r="O90" i="23" s="1"/>
  <c r="N87" i="23"/>
  <c r="N89" i="23" s="1"/>
  <c r="AF246" i="23" s="1"/>
  <c r="M5" i="23"/>
  <c r="L5" i="23"/>
  <c r="M87" i="23"/>
  <c r="M89" i="23" s="1"/>
  <c r="M7" i="23" s="1"/>
  <c r="K5" i="23"/>
  <c r="L87" i="23"/>
  <c r="L89" i="23" s="1"/>
  <c r="L7" i="23" s="1"/>
  <c r="J5" i="23"/>
  <c r="K87" i="23"/>
  <c r="K89" i="23" s="1"/>
  <c r="K7" i="23" s="1"/>
  <c r="J87" i="23"/>
  <c r="J89" i="23" s="1"/>
  <c r="J7" i="23" s="1"/>
  <c r="I87" i="23"/>
  <c r="I89" i="23" s="1"/>
  <c r="I7" i="23" s="1"/>
  <c r="H5" i="23"/>
  <c r="H87" i="23"/>
  <c r="H89" i="23" s="1"/>
  <c r="Z246" i="23" s="1"/>
  <c r="F5" i="23"/>
  <c r="G87" i="23"/>
  <c r="G89" i="23" s="1"/>
  <c r="Y246" i="23" s="1"/>
  <c r="E5" i="23"/>
  <c r="F87" i="23"/>
  <c r="F89" i="23" s="1"/>
  <c r="F90" i="23" s="1"/>
  <c r="D5" i="23"/>
  <c r="E87" i="23"/>
  <c r="E89" i="23" s="1"/>
  <c r="E7" i="23" s="1"/>
  <c r="AH52" i="23"/>
  <c r="C5" i="23"/>
  <c r="D87" i="23"/>
  <c r="D89" i="23" s="1"/>
  <c r="D90" i="23" s="1"/>
  <c r="C87" i="23"/>
  <c r="C89" i="23" s="1"/>
  <c r="B5" i="23"/>
  <c r="AH66" i="23"/>
  <c r="B87" i="23"/>
  <c r="B89" i="23" s="1"/>
  <c r="S243" i="23"/>
  <c r="AC7" i="23"/>
  <c r="C90" i="23"/>
  <c r="U246" i="23"/>
  <c r="C7" i="23"/>
  <c r="S90" i="23"/>
  <c r="S7" i="23"/>
  <c r="AK246" i="23"/>
  <c r="AS246" i="23"/>
  <c r="AA7" i="23"/>
  <c r="V90" i="23"/>
  <c r="AO246" i="23"/>
  <c r="W90" i="23"/>
  <c r="U7" i="23"/>
  <c r="AM246" i="23"/>
  <c r="U90" i="23"/>
  <c r="X90" i="23"/>
  <c r="X7" i="23"/>
  <c r="AP246" i="23"/>
  <c r="AF90" i="23"/>
  <c r="AF7" i="23"/>
  <c r="AX246" i="23"/>
  <c r="V246" i="23"/>
  <c r="AW246" i="23"/>
  <c r="AE90" i="23"/>
  <c r="AE7" i="23"/>
  <c r="Q7" i="23"/>
  <c r="AI246" i="23"/>
  <c r="Q90" i="23"/>
  <c r="AG87" i="23"/>
  <c r="G90" i="23"/>
  <c r="R90" i="23"/>
  <c r="B98" i="23"/>
  <c r="J98" i="23"/>
  <c r="Z98" i="23"/>
  <c r="F226" i="23"/>
  <c r="Q5" i="23"/>
  <c r="AH70" i="23"/>
  <c r="AG2" i="23"/>
  <c r="AG6" i="23" s="1"/>
  <c r="AI66" i="23"/>
  <c r="H98" i="23"/>
  <c r="P98" i="23"/>
  <c r="X98" i="23"/>
  <c r="AF98" i="23"/>
  <c r="F231" i="23"/>
  <c r="AH82" i="23"/>
  <c r="AH48" i="23"/>
  <c r="AI48" i="23"/>
  <c r="AI52" i="23"/>
  <c r="E229" i="23"/>
  <c r="F229" i="23" s="1"/>
  <c r="G229" i="23" s="1"/>
  <c r="H229" i="23" s="1"/>
  <c r="I229" i="23" s="1"/>
  <c r="B232" i="23"/>
  <c r="AI82" i="23"/>
  <c r="AD90" i="23" l="1"/>
  <c r="AV246" i="23"/>
  <c r="AC90" i="23"/>
  <c r="AT246" i="23"/>
  <c r="AB7" i="23"/>
  <c r="AR246" i="23"/>
  <c r="Z7" i="23"/>
  <c r="Y90" i="23"/>
  <c r="AQ246" i="23"/>
  <c r="AN246" i="23"/>
  <c r="AL246" i="23"/>
  <c r="T7" i="23"/>
  <c r="R7" i="23"/>
  <c r="P7" i="23"/>
  <c r="P90" i="23"/>
  <c r="N7" i="23"/>
  <c r="AG246" i="23"/>
  <c r="O7" i="23"/>
  <c r="M90" i="23"/>
  <c r="AE246" i="23"/>
  <c r="N90" i="23"/>
  <c r="I90" i="23"/>
  <c r="AA246" i="23"/>
  <c r="H90" i="23"/>
  <c r="AB246" i="23"/>
  <c r="H7" i="23"/>
  <c r="J90" i="23"/>
  <c r="AD246" i="23"/>
  <c r="L90" i="23"/>
  <c r="K90" i="23"/>
  <c r="AC246" i="23"/>
  <c r="G7" i="23"/>
  <c r="B241" i="23"/>
  <c r="C241" i="23"/>
  <c r="K6" i="23" s="1"/>
  <c r="F7" i="23"/>
  <c r="X246" i="23"/>
  <c r="E90" i="23"/>
  <c r="W246" i="23"/>
  <c r="AI87" i="23"/>
  <c r="D7" i="23"/>
  <c r="AH87" i="23"/>
  <c r="E267" i="23"/>
  <c r="G231" i="23"/>
  <c r="J229" i="23"/>
  <c r="K229" i="23" s="1"/>
  <c r="L229" i="23" s="1"/>
  <c r="M229" i="23" s="1"/>
  <c r="N229" i="23" s="1"/>
  <c r="O229" i="23" s="1"/>
  <c r="P229" i="23" s="1"/>
  <c r="B90" i="23"/>
  <c r="AH89" i="23"/>
  <c r="B7" i="23"/>
  <c r="T246" i="23"/>
  <c r="AI89" i="23"/>
  <c r="AI98" i="23"/>
  <c r="AH98" i="23"/>
  <c r="F108" i="23"/>
  <c r="G226" i="23"/>
  <c r="F232" i="23"/>
  <c r="E232" i="23"/>
  <c r="A7" i="23" l="1"/>
  <c r="H226" i="23"/>
  <c r="G108" i="23"/>
  <c r="G232" i="23"/>
  <c r="AI90" i="23"/>
  <c r="AH90" i="23"/>
  <c r="F267" i="23"/>
  <c r="H231" i="23"/>
  <c r="I226" i="23" l="1"/>
  <c r="H232" i="23"/>
  <c r="H108" i="23"/>
  <c r="G267" i="23"/>
  <c r="I231" i="23"/>
  <c r="I108" i="23" l="1"/>
  <c r="J226" i="23"/>
  <c r="H267" i="23"/>
  <c r="J231" i="23"/>
  <c r="K231" i="23" l="1"/>
  <c r="I267" i="23"/>
  <c r="J108" i="23"/>
  <c r="K226" i="23"/>
  <c r="O111" i="22"/>
  <c r="O48" i="22"/>
  <c r="O52" i="22"/>
  <c r="L226" i="23" l="1"/>
  <c r="K108" i="23"/>
  <c r="J267" i="23"/>
  <c r="L231" i="23"/>
  <c r="C70" i="22"/>
  <c r="D70" i="22"/>
  <c r="E70" i="22"/>
  <c r="F70" i="22"/>
  <c r="G70" i="22"/>
  <c r="H70" i="22"/>
  <c r="I70" i="22"/>
  <c r="J70" i="22"/>
  <c r="K70" i="22"/>
  <c r="L70" i="22"/>
  <c r="D111" i="22"/>
  <c r="D48" i="22"/>
  <c r="D52" i="22"/>
  <c r="D66" i="22"/>
  <c r="B111" i="22"/>
  <c r="B108" i="22"/>
  <c r="B82" i="22"/>
  <c r="B98" i="22" s="1"/>
  <c r="B70" i="22"/>
  <c r="B66" i="22"/>
  <c r="B52" i="22"/>
  <c r="B48" i="22"/>
  <c r="AF271" i="22"/>
  <c r="AE271" i="22"/>
  <c r="AD271" i="22"/>
  <c r="AC271" i="22"/>
  <c r="AB271" i="22"/>
  <c r="AA271" i="22"/>
  <c r="Z271" i="22"/>
  <c r="Y271" i="22"/>
  <c r="X271" i="22"/>
  <c r="W271" i="22"/>
  <c r="V271" i="22"/>
  <c r="U271" i="22"/>
  <c r="T271" i="22"/>
  <c r="S271" i="22"/>
  <c r="R271" i="22"/>
  <c r="Q271" i="22"/>
  <c r="P271" i="22"/>
  <c r="O271" i="22"/>
  <c r="N271" i="22"/>
  <c r="M271" i="22"/>
  <c r="L271" i="22"/>
  <c r="K271" i="22"/>
  <c r="J271" i="22"/>
  <c r="I271" i="22"/>
  <c r="H271" i="22"/>
  <c r="G271" i="22"/>
  <c r="F271" i="22"/>
  <c r="E271" i="22"/>
  <c r="D271" i="22"/>
  <c r="C271" i="22"/>
  <c r="B271" i="22"/>
  <c r="A271" i="22"/>
  <c r="AF270" i="22"/>
  <c r="AE270" i="22"/>
  <c r="AD270" i="22"/>
  <c r="AC270" i="22"/>
  <c r="AB270" i="22"/>
  <c r="AA270" i="22"/>
  <c r="Z270" i="22"/>
  <c r="Y270" i="22"/>
  <c r="X270" i="22"/>
  <c r="W270" i="22"/>
  <c r="V270" i="22"/>
  <c r="U270" i="22"/>
  <c r="T270" i="22"/>
  <c r="S270" i="22"/>
  <c r="R270" i="22"/>
  <c r="Q270" i="22"/>
  <c r="P270" i="22"/>
  <c r="O270" i="22"/>
  <c r="N270" i="22"/>
  <c r="M270" i="22"/>
  <c r="L270" i="22"/>
  <c r="K270" i="22"/>
  <c r="J270" i="22"/>
  <c r="I270" i="22"/>
  <c r="H270" i="22"/>
  <c r="G270" i="22"/>
  <c r="F270" i="22"/>
  <c r="E270" i="22"/>
  <c r="D270" i="22"/>
  <c r="C270" i="22"/>
  <c r="B270" i="22"/>
  <c r="A270" i="22"/>
  <c r="AF269" i="22"/>
  <c r="AE269" i="22"/>
  <c r="AD269" i="22"/>
  <c r="AC269" i="22"/>
  <c r="AB269" i="22"/>
  <c r="AA269" i="22"/>
  <c r="Z269" i="22"/>
  <c r="Y269" i="22"/>
  <c r="X269" i="22"/>
  <c r="W269" i="22"/>
  <c r="V269" i="22"/>
  <c r="U269" i="22"/>
  <c r="T269" i="22"/>
  <c r="S269" i="22"/>
  <c r="R269" i="22"/>
  <c r="Q269" i="22"/>
  <c r="P269" i="22"/>
  <c r="O269" i="22"/>
  <c r="N269" i="22"/>
  <c r="M269" i="22"/>
  <c r="L269" i="22"/>
  <c r="K269" i="22"/>
  <c r="J269" i="22"/>
  <c r="I269" i="22"/>
  <c r="H269" i="22"/>
  <c r="G269" i="22"/>
  <c r="F269" i="22"/>
  <c r="E269" i="22"/>
  <c r="D269" i="22"/>
  <c r="C269" i="22"/>
  <c r="B269" i="22"/>
  <c r="A269" i="22"/>
  <c r="AF268" i="22"/>
  <c r="AE268" i="22"/>
  <c r="AD268" i="22"/>
  <c r="AC268" i="22"/>
  <c r="AB268" i="22"/>
  <c r="AA268" i="22"/>
  <c r="Z268" i="22"/>
  <c r="Y268" i="22"/>
  <c r="X268" i="22"/>
  <c r="W268" i="22"/>
  <c r="V268" i="22"/>
  <c r="U268" i="22"/>
  <c r="T268" i="22"/>
  <c r="S268" i="22"/>
  <c r="R268" i="22"/>
  <c r="Q268" i="22"/>
  <c r="P268" i="22"/>
  <c r="O268" i="22"/>
  <c r="N268" i="22"/>
  <c r="M268" i="22"/>
  <c r="L268" i="22"/>
  <c r="K268" i="22"/>
  <c r="J268" i="22"/>
  <c r="I268" i="22"/>
  <c r="H268" i="22"/>
  <c r="G268" i="22"/>
  <c r="F268" i="22"/>
  <c r="E268" i="22"/>
  <c r="D268" i="22"/>
  <c r="C268" i="22"/>
  <c r="B268" i="22"/>
  <c r="A268" i="22"/>
  <c r="AE267" i="22"/>
  <c r="AD267" i="22"/>
  <c r="AC267" i="22"/>
  <c r="AB267" i="22"/>
  <c r="AA267" i="22"/>
  <c r="Z267" i="22"/>
  <c r="Y267" i="22"/>
  <c r="X267" i="22"/>
  <c r="W267" i="22"/>
  <c r="V267" i="22"/>
  <c r="U267" i="22"/>
  <c r="T267" i="22"/>
  <c r="S267" i="22"/>
  <c r="R267" i="22"/>
  <c r="Q267" i="22"/>
  <c r="P267" i="22"/>
  <c r="B267" i="22"/>
  <c r="S242" i="22"/>
  <c r="AG232" i="22"/>
  <c r="AF232" i="22"/>
  <c r="AE232" i="22"/>
  <c r="AD232" i="22"/>
  <c r="AC232" i="22"/>
  <c r="AB232" i="22"/>
  <c r="AA232" i="22"/>
  <c r="Z232" i="22"/>
  <c r="Y232" i="22"/>
  <c r="X232" i="22"/>
  <c r="W232" i="22"/>
  <c r="V232" i="22"/>
  <c r="U232" i="22"/>
  <c r="T232" i="22"/>
  <c r="S232" i="22"/>
  <c r="R232" i="22"/>
  <c r="Q232" i="22"/>
  <c r="C232" i="22"/>
  <c r="D231" i="22"/>
  <c r="C267" i="22" s="1"/>
  <c r="B231" i="22"/>
  <c r="AF267" i="22" s="1"/>
  <c r="D230" i="22"/>
  <c r="E230" i="22" s="1"/>
  <c r="F230" i="22" s="1"/>
  <c r="G230" i="22" s="1"/>
  <c r="H230" i="22" s="1"/>
  <c r="I230" i="22" s="1"/>
  <c r="J230" i="22" s="1"/>
  <c r="K230" i="22" s="1"/>
  <c r="L230" i="22" s="1"/>
  <c r="M230" i="22" s="1"/>
  <c r="N230" i="22" s="1"/>
  <c r="O230" i="22" s="1"/>
  <c r="P230" i="22" s="1"/>
  <c r="B230" i="22"/>
  <c r="F229" i="22"/>
  <c r="G229" i="22" s="1"/>
  <c r="H229" i="22" s="1"/>
  <c r="I229" i="22" s="1"/>
  <c r="E229" i="22"/>
  <c r="D229" i="22"/>
  <c r="B229" i="22"/>
  <c r="D228" i="22"/>
  <c r="E228" i="22" s="1"/>
  <c r="F228" i="22" s="1"/>
  <c r="G228" i="22" s="1"/>
  <c r="H228" i="22" s="1"/>
  <c r="B228" i="22"/>
  <c r="D227" i="22"/>
  <c r="E227" i="22" s="1"/>
  <c r="B227" i="22"/>
  <c r="E226" i="22"/>
  <c r="F226" i="22" s="1"/>
  <c r="D226" i="22"/>
  <c r="D232" i="22" s="1"/>
  <c r="B226" i="22"/>
  <c r="B232" i="22" s="1"/>
  <c r="AG224" i="22"/>
  <c r="AF224" i="22"/>
  <c r="AE224" i="22"/>
  <c r="AD224" i="22"/>
  <c r="AC224" i="22"/>
  <c r="AB224" i="22"/>
  <c r="AA224" i="22"/>
  <c r="Z224" i="22"/>
  <c r="Y224" i="22"/>
  <c r="X224" i="22"/>
  <c r="W224" i="22"/>
  <c r="V224" i="22"/>
  <c r="U224" i="22"/>
  <c r="T224" i="22"/>
  <c r="S224" i="22"/>
  <c r="R224" i="22"/>
  <c r="Q224" i="22"/>
  <c r="P224" i="22"/>
  <c r="O224" i="22"/>
  <c r="N224" i="22"/>
  <c r="M224" i="22"/>
  <c r="L224" i="22"/>
  <c r="K224" i="22"/>
  <c r="J224" i="22"/>
  <c r="I224" i="22"/>
  <c r="H224" i="22"/>
  <c r="G224" i="22"/>
  <c r="F224" i="22"/>
  <c r="E224" i="22"/>
  <c r="D224" i="22"/>
  <c r="C224" i="22"/>
  <c r="B224" i="22"/>
  <c r="AI117" i="22"/>
  <c r="AH117" i="22"/>
  <c r="AI116" i="22"/>
  <c r="AH116" i="22"/>
  <c r="AI115" i="22"/>
  <c r="AH115" i="22"/>
  <c r="AI114" i="22"/>
  <c r="AH114" i="22"/>
  <c r="AI113" i="22"/>
  <c r="AH113" i="22"/>
  <c r="AI112" i="22"/>
  <c r="AH112" i="22"/>
  <c r="AI111" i="22"/>
  <c r="AH111" i="22"/>
  <c r="AI110" i="22"/>
  <c r="AH110" i="22"/>
  <c r="AI109" i="22"/>
  <c r="AH109" i="22"/>
  <c r="AF108" i="22"/>
  <c r="AE108" i="22"/>
  <c r="AD108" i="22"/>
  <c r="AC108" i="22"/>
  <c r="AB108" i="22"/>
  <c r="AA108" i="22"/>
  <c r="Y108" i="22"/>
  <c r="X108" i="22"/>
  <c r="W108" i="22"/>
  <c r="V108" i="22"/>
  <c r="U108" i="22"/>
  <c r="T108" i="22"/>
  <c r="S108" i="22"/>
  <c r="R108" i="22"/>
  <c r="Q108" i="22"/>
  <c r="C108" i="22"/>
  <c r="AI107" i="22"/>
  <c r="AH107" i="22"/>
  <c r="AI106" i="22"/>
  <c r="AH106" i="22"/>
  <c r="AI105" i="22"/>
  <c r="AH105" i="22"/>
  <c r="AI104" i="22"/>
  <c r="AH104" i="22"/>
  <c r="AI103" i="22"/>
  <c r="AH103" i="22"/>
  <c r="AI102" i="22"/>
  <c r="AH102" i="22"/>
  <c r="AI101" i="22"/>
  <c r="AH101" i="22"/>
  <c r="AI100" i="22"/>
  <c r="AH100" i="22"/>
  <c r="AI99" i="22"/>
  <c r="AH99" i="22"/>
  <c r="AI97" i="22"/>
  <c r="AH97" i="22"/>
  <c r="AI96" i="22"/>
  <c r="AH96" i="22"/>
  <c r="AI95" i="22"/>
  <c r="AH95" i="22"/>
  <c r="AI94" i="22"/>
  <c r="AH94" i="22"/>
  <c r="AI93" i="22"/>
  <c r="AH93" i="22"/>
  <c r="AI92" i="22"/>
  <c r="AH92" i="22"/>
  <c r="AI91" i="22"/>
  <c r="AH91" i="22"/>
  <c r="AI88" i="22"/>
  <c r="AH88" i="22"/>
  <c r="AI86" i="22"/>
  <c r="AH86" i="22"/>
  <c r="AG86" i="22"/>
  <c r="AG89" i="22" s="1"/>
  <c r="AI85" i="22"/>
  <c r="AH85" i="22"/>
  <c r="AI84" i="22"/>
  <c r="AH84" i="22"/>
  <c r="AI83" i="22"/>
  <c r="AH83" i="22"/>
  <c r="AN82" i="22"/>
  <c r="AG82" i="22"/>
  <c r="AF82" i="22"/>
  <c r="AF98" i="22" s="1"/>
  <c r="AE82" i="22"/>
  <c r="AD5" i="22" s="1"/>
  <c r="AD82" i="22"/>
  <c r="AC5" i="22" s="1"/>
  <c r="AC82" i="22"/>
  <c r="AC98" i="22" s="1"/>
  <c r="AB82" i="22"/>
  <c r="AB98" i="22" s="1"/>
  <c r="AA82" i="22"/>
  <c r="AA98" i="22" s="1"/>
  <c r="Y82" i="22"/>
  <c r="Y98" i="22" s="1"/>
  <c r="X82" i="22"/>
  <c r="X98" i="22" s="1"/>
  <c r="W82" i="22"/>
  <c r="V5" i="22" s="1"/>
  <c r="V82" i="22"/>
  <c r="V98" i="22" s="1"/>
  <c r="U82" i="22"/>
  <c r="U98" i="22" s="1"/>
  <c r="T82" i="22"/>
  <c r="T98" i="22" s="1"/>
  <c r="S82" i="22"/>
  <c r="S98" i="22" s="1"/>
  <c r="R82" i="22"/>
  <c r="R98" i="22" s="1"/>
  <c r="Q82" i="22"/>
  <c r="Q98" i="22" s="1"/>
  <c r="P82" i="22"/>
  <c r="P98" i="22" s="1"/>
  <c r="O82" i="22"/>
  <c r="N5" i="22" s="1"/>
  <c r="N82" i="22"/>
  <c r="N98" i="22" s="1"/>
  <c r="M82" i="22"/>
  <c r="M98" i="22" s="1"/>
  <c r="L82" i="22"/>
  <c r="L98" i="22" s="1"/>
  <c r="K82" i="22"/>
  <c r="K98" i="22" s="1"/>
  <c r="J82" i="22"/>
  <c r="J98" i="22" s="1"/>
  <c r="I82" i="22"/>
  <c r="I98" i="22" s="1"/>
  <c r="H82" i="22"/>
  <c r="H98" i="22" s="1"/>
  <c r="G82" i="22"/>
  <c r="F5" i="22" s="1"/>
  <c r="F82" i="22"/>
  <c r="E5" i="22" s="1"/>
  <c r="E82" i="22"/>
  <c r="E98" i="22" s="1"/>
  <c r="D82" i="22"/>
  <c r="D98" i="22" s="1"/>
  <c r="C82" i="22"/>
  <c r="C98" i="22" s="1"/>
  <c r="AI81" i="22"/>
  <c r="AH81" i="22"/>
  <c r="AN80" i="22"/>
  <c r="AI80" i="22"/>
  <c r="AH80" i="22"/>
  <c r="AN79" i="22"/>
  <c r="AN81" i="22" s="1"/>
  <c r="AI79" i="22"/>
  <c r="AH79" i="22"/>
  <c r="AI78" i="22"/>
  <c r="AH78" i="22"/>
  <c r="AI77" i="22"/>
  <c r="AH77" i="22"/>
  <c r="AI76" i="22"/>
  <c r="AH76" i="22"/>
  <c r="AI75" i="22"/>
  <c r="AH75" i="22"/>
  <c r="AI74" i="22"/>
  <c r="AH74" i="22"/>
  <c r="AI73" i="22"/>
  <c r="AH73" i="22"/>
  <c r="AI72" i="22"/>
  <c r="AH72" i="22"/>
  <c r="AI71" i="22"/>
  <c r="AH71" i="22"/>
  <c r="AG70" i="22"/>
  <c r="AF70" i="22"/>
  <c r="AE70" i="22"/>
  <c r="AD70" i="22"/>
  <c r="AC70" i="22"/>
  <c r="AB70" i="22"/>
  <c r="AA70" i="22"/>
  <c r="Y70" i="22"/>
  <c r="X70" i="22"/>
  <c r="W70" i="22"/>
  <c r="V70" i="22"/>
  <c r="U70" i="22"/>
  <c r="T70" i="22"/>
  <c r="S70" i="22"/>
  <c r="R70" i="22"/>
  <c r="Q70" i="22"/>
  <c r="P70" i="22"/>
  <c r="O70" i="22"/>
  <c r="N70" i="22"/>
  <c r="M70" i="22"/>
  <c r="AI69" i="22"/>
  <c r="AH69" i="22"/>
  <c r="AI68" i="22"/>
  <c r="AH68" i="22"/>
  <c r="AI67" i="22"/>
  <c r="AH67" i="22"/>
  <c r="AG66" i="22"/>
  <c r="AG3" i="22" s="1"/>
  <c r="AF66" i="22"/>
  <c r="AE66" i="22"/>
  <c r="AD66" i="22"/>
  <c r="AC66" i="22"/>
  <c r="AB66" i="22"/>
  <c r="AA66" i="22"/>
  <c r="Y66" i="22"/>
  <c r="X66" i="22"/>
  <c r="W66" i="22"/>
  <c r="V66" i="22"/>
  <c r="U66" i="22"/>
  <c r="T66" i="22"/>
  <c r="S66" i="22"/>
  <c r="R66" i="22"/>
  <c r="Q66" i="22"/>
  <c r="P66" i="22"/>
  <c r="O66" i="22"/>
  <c r="O87" i="22" s="1"/>
  <c r="O89" i="22" s="1"/>
  <c r="N66" i="22"/>
  <c r="M66" i="22"/>
  <c r="L66" i="22"/>
  <c r="K66" i="22"/>
  <c r="J66" i="22"/>
  <c r="I66" i="22"/>
  <c r="H66" i="22"/>
  <c r="G66" i="22"/>
  <c r="F66" i="22"/>
  <c r="E66" i="22"/>
  <c r="C66" i="22"/>
  <c r="AI65" i="22"/>
  <c r="AH65" i="22"/>
  <c r="AG65" i="22"/>
  <c r="AI64" i="22"/>
  <c r="AH64" i="22"/>
  <c r="AI63" i="22"/>
  <c r="AH63" i="22"/>
  <c r="AI62" i="22"/>
  <c r="AH62" i="22"/>
  <c r="AI61" i="22"/>
  <c r="AH61" i="22"/>
  <c r="AI60" i="22"/>
  <c r="AH60" i="22"/>
  <c r="AI59" i="22"/>
  <c r="AH59" i="22"/>
  <c r="AI58" i="22"/>
  <c r="AH58" i="22"/>
  <c r="AI57" i="22"/>
  <c r="AH57" i="22"/>
  <c r="AI56" i="22"/>
  <c r="AH56" i="22"/>
  <c r="AI55" i="22"/>
  <c r="AH55" i="22"/>
  <c r="AI54" i="22"/>
  <c r="AH54" i="22"/>
  <c r="AI53" i="22"/>
  <c r="AH53" i="22"/>
  <c r="AG52" i="22"/>
  <c r="AF52" i="22"/>
  <c r="AE52" i="22"/>
  <c r="AD52" i="22"/>
  <c r="AC52" i="22"/>
  <c r="AB52" i="22"/>
  <c r="AA52" i="22"/>
  <c r="Y52" i="22"/>
  <c r="W52" i="22"/>
  <c r="V52" i="22"/>
  <c r="U52" i="22"/>
  <c r="T52" i="22"/>
  <c r="S52" i="22"/>
  <c r="R52" i="22"/>
  <c r="Q52" i="22"/>
  <c r="P52" i="22"/>
  <c r="N52" i="22"/>
  <c r="M52" i="22"/>
  <c r="L52" i="22"/>
  <c r="K52" i="22"/>
  <c r="J52" i="22"/>
  <c r="I52" i="22"/>
  <c r="H52" i="22"/>
  <c r="G52" i="22"/>
  <c r="F52" i="22"/>
  <c r="E52" i="22"/>
  <c r="C52" i="22"/>
  <c r="AI51" i="22"/>
  <c r="AH51" i="22"/>
  <c r="AI50" i="22"/>
  <c r="AH50" i="22"/>
  <c r="AI49" i="22"/>
  <c r="AH49" i="22"/>
  <c r="AG48" i="22"/>
  <c r="AG87" i="22" s="1"/>
  <c r="AF48" i="22"/>
  <c r="AE48" i="22"/>
  <c r="AD48" i="22"/>
  <c r="AC48" i="22"/>
  <c r="AB48" i="22"/>
  <c r="AA48" i="22"/>
  <c r="Y48" i="22"/>
  <c r="W48" i="22"/>
  <c r="V48" i="22"/>
  <c r="U48" i="22"/>
  <c r="T48" i="22"/>
  <c r="S48" i="22"/>
  <c r="R48" i="22"/>
  <c r="Q48" i="22"/>
  <c r="P48" i="22"/>
  <c r="N48" i="22"/>
  <c r="M48" i="22"/>
  <c r="L48" i="22"/>
  <c r="K48" i="22"/>
  <c r="J48" i="22"/>
  <c r="I48" i="22"/>
  <c r="H48" i="22"/>
  <c r="G48" i="22"/>
  <c r="F48" i="22"/>
  <c r="E48" i="22"/>
  <c r="D87" i="22"/>
  <c r="D89" i="22" s="1"/>
  <c r="C48" i="22"/>
  <c r="AI47" i="22"/>
  <c r="AH47" i="22"/>
  <c r="AI46" i="22"/>
  <c r="AH46" i="22"/>
  <c r="AI45" i="22"/>
  <c r="AH45" i="22"/>
  <c r="AI44" i="22"/>
  <c r="AH44" i="22"/>
  <c r="AI43" i="22"/>
  <c r="AH43" i="22"/>
  <c r="AI42" i="22"/>
  <c r="AH42" i="22"/>
  <c r="AI41" i="22"/>
  <c r="AH41" i="22"/>
  <c r="AI40" i="22"/>
  <c r="AH40" i="22"/>
  <c r="AI39" i="22"/>
  <c r="AH39" i="22"/>
  <c r="AI38" i="22"/>
  <c r="AH38" i="22"/>
  <c r="AI37" i="22"/>
  <c r="AH37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AI21" i="22"/>
  <c r="AH21" i="22"/>
  <c r="AI20" i="22"/>
  <c r="AH20" i="22"/>
  <c r="AI19" i="22"/>
  <c r="AH19" i="22"/>
  <c r="AI18" i="22"/>
  <c r="AH18" i="22"/>
  <c r="AI17" i="22"/>
  <c r="AH17" i="22"/>
  <c r="AI16" i="22"/>
  <c r="AH16" i="22"/>
  <c r="AI15" i="22"/>
  <c r="AH15" i="22"/>
  <c r="AI14" i="22"/>
  <c r="AH14" i="22"/>
  <c r="AI13" i="22"/>
  <c r="AH13" i="22"/>
  <c r="AI12" i="22"/>
  <c r="AH12" i="22"/>
  <c r="AI11" i="22"/>
  <c r="AH11" i="22"/>
  <c r="Y5" i="22"/>
  <c r="W5" i="22"/>
  <c r="AG4" i="22"/>
  <c r="K4" i="22"/>
  <c r="E4" i="22"/>
  <c r="H4" i="22" s="1"/>
  <c r="B4" i="22"/>
  <c r="D243" i="22" s="1"/>
  <c r="AG2" i="22"/>
  <c r="AF111" i="21"/>
  <c r="AF48" i="21"/>
  <c r="AF52" i="21"/>
  <c r="AF66" i="21"/>
  <c r="AF70" i="21"/>
  <c r="AF82" i="21"/>
  <c r="AF98" i="21" s="1"/>
  <c r="AE111" i="21"/>
  <c r="AE48" i="21"/>
  <c r="AC111" i="21"/>
  <c r="AD111" i="21"/>
  <c r="AB48" i="21"/>
  <c r="M226" i="23" l="1"/>
  <c r="L108" i="23"/>
  <c r="K267" i="23"/>
  <c r="M231" i="23"/>
  <c r="AE5" i="22"/>
  <c r="AF87" i="22"/>
  <c r="AF89" i="22" s="1"/>
  <c r="AF90" i="22" s="1"/>
  <c r="AE87" i="22"/>
  <c r="AE89" i="22" s="1"/>
  <c r="AD98" i="22"/>
  <c r="AD87" i="22"/>
  <c r="AD89" i="22" s="1"/>
  <c r="AB5" i="22"/>
  <c r="AC87" i="22"/>
  <c r="AC89" i="22" s="1"/>
  <c r="AA5" i="22"/>
  <c r="AB87" i="22"/>
  <c r="AB89" i="22" s="1"/>
  <c r="X5" i="22"/>
  <c r="Y87" i="22"/>
  <c r="Y89" i="22" s="1"/>
  <c r="Z5" i="22"/>
  <c r="AA87" i="22"/>
  <c r="AA89" i="22" s="1"/>
  <c r="X87" i="22"/>
  <c r="X89" i="22" s="1"/>
  <c r="W87" i="22"/>
  <c r="W89" i="22" s="1"/>
  <c r="U5" i="22"/>
  <c r="V87" i="22"/>
  <c r="V89" i="22" s="1"/>
  <c r="U87" i="22"/>
  <c r="U89" i="22" s="1"/>
  <c r="T5" i="22"/>
  <c r="S5" i="22"/>
  <c r="T87" i="22"/>
  <c r="T89" i="22" s="1"/>
  <c r="R5" i="22"/>
  <c r="S87" i="22"/>
  <c r="S89" i="22" s="1"/>
  <c r="Q5" i="22"/>
  <c r="P5" i="22"/>
  <c r="R87" i="22"/>
  <c r="R89" i="22" s="1"/>
  <c r="Q87" i="22"/>
  <c r="Q89" i="22" s="1"/>
  <c r="O5" i="22"/>
  <c r="P87" i="22"/>
  <c r="P89" i="22" s="1"/>
  <c r="M5" i="22"/>
  <c r="N87" i="22"/>
  <c r="N89" i="22" s="1"/>
  <c r="L5" i="22"/>
  <c r="M87" i="22"/>
  <c r="M89" i="22" s="1"/>
  <c r="M7" i="22" s="1"/>
  <c r="K5" i="22"/>
  <c r="L87" i="22"/>
  <c r="L89" i="22" s="1"/>
  <c r="AD246" i="22" s="1"/>
  <c r="J5" i="22"/>
  <c r="I5" i="22"/>
  <c r="J87" i="22"/>
  <c r="J89" i="22" s="1"/>
  <c r="J90" i="22" s="1"/>
  <c r="AI70" i="22"/>
  <c r="G5" i="22"/>
  <c r="H87" i="22"/>
  <c r="H89" i="22" s="1"/>
  <c r="H90" i="22" s="1"/>
  <c r="G87" i="22"/>
  <c r="G89" i="22" s="1"/>
  <c r="G7" i="22" s="1"/>
  <c r="F87" i="22"/>
  <c r="F89" i="22" s="1"/>
  <c r="X246" i="22" s="1"/>
  <c r="F98" i="22"/>
  <c r="H5" i="22"/>
  <c r="K87" i="22"/>
  <c r="K89" i="22" s="1"/>
  <c r="K7" i="22" s="1"/>
  <c r="I87" i="22"/>
  <c r="I89" i="22" s="1"/>
  <c r="I90" i="22" s="1"/>
  <c r="D5" i="22"/>
  <c r="AI52" i="22"/>
  <c r="E87" i="22"/>
  <c r="E89" i="22" s="1"/>
  <c r="E7" i="22" s="1"/>
  <c r="C5" i="22"/>
  <c r="B5" i="22"/>
  <c r="AI66" i="22"/>
  <c r="C87" i="22"/>
  <c r="C89" i="22" s="1"/>
  <c r="C90" i="22" s="1"/>
  <c r="B87" i="22"/>
  <c r="B89" i="22" s="1"/>
  <c r="B90" i="22" s="1"/>
  <c r="AH70" i="22"/>
  <c r="AF5" i="22"/>
  <c r="T90" i="22"/>
  <c r="T7" i="22"/>
  <c r="AL246" i="22"/>
  <c r="S90" i="22"/>
  <c r="S7" i="22"/>
  <c r="AK246" i="22"/>
  <c r="L90" i="22"/>
  <c r="L7" i="22"/>
  <c r="U7" i="22"/>
  <c r="AM246" i="22"/>
  <c r="U90" i="22"/>
  <c r="AC7" i="22"/>
  <c r="AU246" i="22"/>
  <c r="AC90" i="22"/>
  <c r="AA90" i="22"/>
  <c r="AA7" i="22"/>
  <c r="AS246" i="22"/>
  <c r="R90" i="22"/>
  <c r="R7" i="22"/>
  <c r="AJ246" i="22"/>
  <c r="D90" i="22"/>
  <c r="D7" i="22"/>
  <c r="V246" i="22"/>
  <c r="F227" i="22"/>
  <c r="G227" i="22" s="1"/>
  <c r="H227" i="22" s="1"/>
  <c r="I227" i="22" s="1"/>
  <c r="J227" i="22" s="1"/>
  <c r="K227" i="22" s="1"/>
  <c r="L227" i="22" s="1"/>
  <c r="M227" i="22" s="1"/>
  <c r="N227" i="22" s="1"/>
  <c r="O227" i="22" s="1"/>
  <c r="P227" i="22" s="1"/>
  <c r="F7" i="22"/>
  <c r="N7" i="22"/>
  <c r="AF246" i="22"/>
  <c r="N90" i="22"/>
  <c r="V7" i="22"/>
  <c r="AN246" i="22"/>
  <c r="V90" i="22"/>
  <c r="AD7" i="22"/>
  <c r="AV246" i="22"/>
  <c r="AD90" i="22"/>
  <c r="AB90" i="22"/>
  <c r="AB7" i="22"/>
  <c r="AT246" i="22"/>
  <c r="Y246" i="22"/>
  <c r="G90" i="22"/>
  <c r="AG246" i="22"/>
  <c r="O90" i="22"/>
  <c r="O7" i="22"/>
  <c r="AO246" i="22"/>
  <c r="W7" i="22"/>
  <c r="W90" i="22"/>
  <c r="AW246" i="22"/>
  <c r="AE7" i="22"/>
  <c r="AE90" i="22"/>
  <c r="X90" i="22"/>
  <c r="AP246" i="22"/>
  <c r="X7" i="22"/>
  <c r="AF7" i="22"/>
  <c r="Z7" i="22"/>
  <c r="AR246" i="22"/>
  <c r="AG6" i="22"/>
  <c r="P90" i="22"/>
  <c r="AH246" i="22"/>
  <c r="P7" i="22"/>
  <c r="Q90" i="22"/>
  <c r="Q7" i="22"/>
  <c r="AI246" i="22"/>
  <c r="Y90" i="22"/>
  <c r="Y7" i="22"/>
  <c r="AQ246" i="22"/>
  <c r="G226" i="22"/>
  <c r="J229" i="22"/>
  <c r="K229" i="22" s="1"/>
  <c r="L229" i="22" s="1"/>
  <c r="M229" i="22" s="1"/>
  <c r="N229" i="22" s="1"/>
  <c r="O229" i="22" s="1"/>
  <c r="P229" i="22" s="1"/>
  <c r="AH66" i="22"/>
  <c r="G98" i="22"/>
  <c r="O98" i="22"/>
  <c r="W98" i="22"/>
  <c r="AE98" i="22"/>
  <c r="D108" i="22"/>
  <c r="E231" i="22"/>
  <c r="E232" i="22" s="1"/>
  <c r="S243" i="22"/>
  <c r="AH82" i="22"/>
  <c r="AH48" i="22"/>
  <c r="AH52" i="22"/>
  <c r="AI82" i="22"/>
  <c r="AI48" i="22"/>
  <c r="AF87" i="21"/>
  <c r="AF89" i="21" s="1"/>
  <c r="AF90" i="21" s="1"/>
  <c r="AX246" i="22" l="1"/>
  <c r="L267" i="23"/>
  <c r="N231" i="23"/>
  <c r="N226" i="23"/>
  <c r="M108" i="23"/>
  <c r="M90" i="22"/>
  <c r="AE246" i="22"/>
  <c r="AC246" i="22"/>
  <c r="AB246" i="22"/>
  <c r="J7" i="22"/>
  <c r="F90" i="22"/>
  <c r="AA246" i="22"/>
  <c r="I7" i="22"/>
  <c r="H7" i="22"/>
  <c r="Z246" i="22"/>
  <c r="C241" i="22"/>
  <c r="AI98" i="22"/>
  <c r="B241" i="22"/>
  <c r="K90" i="22"/>
  <c r="E90" i="22"/>
  <c r="W246" i="22"/>
  <c r="U246" i="22"/>
  <c r="AI87" i="22"/>
  <c r="C7" i="22"/>
  <c r="AH87" i="22"/>
  <c r="AH98" i="22"/>
  <c r="H226" i="22"/>
  <c r="D267" i="22"/>
  <c r="F231" i="22"/>
  <c r="E108" i="22"/>
  <c r="AI89" i="22"/>
  <c r="AH89" i="22"/>
  <c r="B7" i="22"/>
  <c r="A7" i="22" s="1"/>
  <c r="T246" i="22"/>
  <c r="O226" i="23" l="1"/>
  <c r="N108" i="23"/>
  <c r="O231" i="23"/>
  <c r="M267" i="23"/>
  <c r="K6" i="22"/>
  <c r="I226" i="22"/>
  <c r="AI90" i="22"/>
  <c r="AH90" i="22"/>
  <c r="E267" i="22"/>
  <c r="G231" i="22"/>
  <c r="F232" i="22"/>
  <c r="F108" i="22"/>
  <c r="P231" i="23" l="1"/>
  <c r="O267" i="23" s="1"/>
  <c r="N267" i="23"/>
  <c r="P226" i="23"/>
  <c r="O108" i="23"/>
  <c r="F267" i="22"/>
  <c r="H231" i="22"/>
  <c r="G232" i="22"/>
  <c r="G108" i="22"/>
  <c r="J226" i="22"/>
  <c r="AH108" i="23" l="1"/>
  <c r="AI108" i="23"/>
  <c r="K226" i="22"/>
  <c r="G267" i="22"/>
  <c r="I231" i="22"/>
  <c r="H232" i="22"/>
  <c r="H108" i="22"/>
  <c r="L226" i="22" l="1"/>
  <c r="H267" i="22"/>
  <c r="J231" i="22"/>
  <c r="I108" i="22"/>
  <c r="K231" i="22" l="1"/>
  <c r="I267" i="22"/>
  <c r="J108" i="22"/>
  <c r="M226" i="22"/>
  <c r="N226" i="22" l="1"/>
  <c r="J267" i="22"/>
  <c r="L231" i="22"/>
  <c r="K108" i="22"/>
  <c r="K267" i="22" l="1"/>
  <c r="M231" i="22"/>
  <c r="L108" i="22"/>
  <c r="O226" i="22"/>
  <c r="P226" i="22" l="1"/>
  <c r="L267" i="22"/>
  <c r="N231" i="22"/>
  <c r="M108" i="22"/>
  <c r="M267" i="22" l="1"/>
  <c r="O231" i="22"/>
  <c r="N108" i="22"/>
  <c r="N267" i="22" l="1"/>
  <c r="P231" i="22"/>
  <c r="O267" i="22" s="1"/>
  <c r="O108" i="22"/>
  <c r="AI108" i="22" l="1"/>
  <c r="AH108" i="22"/>
  <c r="L111" i="21" l="1"/>
  <c r="K48" i="21"/>
  <c r="L48" i="21"/>
  <c r="K52" i="21"/>
  <c r="L52" i="21"/>
  <c r="K66" i="21"/>
  <c r="L66" i="21"/>
  <c r="K82" i="21"/>
  <c r="K98" i="21" s="1"/>
  <c r="L82" i="21"/>
  <c r="L98" i="21" s="1"/>
  <c r="K111" i="21"/>
  <c r="J111" i="21"/>
  <c r="H111" i="21"/>
  <c r="I111" i="21"/>
  <c r="G11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B267" i="21"/>
  <c r="S242" i="21"/>
  <c r="AG232" i="21"/>
  <c r="AG65" i="21" s="1"/>
  <c r="AG66" i="21" s="1"/>
  <c r="AG3" i="21" s="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C232" i="21"/>
  <c r="E231" i="21"/>
  <c r="F231" i="21" s="1"/>
  <c r="D231" i="21"/>
  <c r="C267" i="21" s="1"/>
  <c r="B231" i="21"/>
  <c r="AF267" i="21" s="1"/>
  <c r="E230" i="21"/>
  <c r="F230" i="21" s="1"/>
  <c r="G230" i="21" s="1"/>
  <c r="H230" i="21" s="1"/>
  <c r="I230" i="21" s="1"/>
  <c r="J230" i="21" s="1"/>
  <c r="K230" i="21" s="1"/>
  <c r="L230" i="21" s="1"/>
  <c r="M230" i="21" s="1"/>
  <c r="N230" i="21" s="1"/>
  <c r="O230" i="21" s="1"/>
  <c r="P230" i="21" s="1"/>
  <c r="D230" i="21"/>
  <c r="B230" i="21"/>
  <c r="D229" i="21"/>
  <c r="E229" i="21" s="1"/>
  <c r="F229" i="21" s="1"/>
  <c r="G229" i="21" s="1"/>
  <c r="H229" i="21" s="1"/>
  <c r="I229" i="21" s="1"/>
  <c r="B229" i="21"/>
  <c r="E228" i="21"/>
  <c r="F228" i="21" s="1"/>
  <c r="G228" i="21" s="1"/>
  <c r="H228" i="21" s="1"/>
  <c r="D228" i="21"/>
  <c r="B228" i="21"/>
  <c r="E227" i="21"/>
  <c r="F227" i="21" s="1"/>
  <c r="G227" i="21" s="1"/>
  <c r="H227" i="21" s="1"/>
  <c r="I227" i="21" s="1"/>
  <c r="J227" i="21" s="1"/>
  <c r="K227" i="21" s="1"/>
  <c r="L227" i="21" s="1"/>
  <c r="M227" i="21" s="1"/>
  <c r="N227" i="21" s="1"/>
  <c r="O227" i="21" s="1"/>
  <c r="P227" i="21" s="1"/>
  <c r="D227" i="21"/>
  <c r="B227" i="21"/>
  <c r="E226" i="21"/>
  <c r="F226" i="21" s="1"/>
  <c r="D226" i="21"/>
  <c r="D232" i="21" s="1"/>
  <c r="B226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I117" i="21"/>
  <c r="AH117" i="21"/>
  <c r="AI116" i="21"/>
  <c r="AH116" i="21"/>
  <c r="AI115" i="21"/>
  <c r="AH115" i="21"/>
  <c r="AI114" i="21"/>
  <c r="AH114" i="21"/>
  <c r="AI113" i="21"/>
  <c r="AH113" i="21"/>
  <c r="AI112" i="21"/>
  <c r="AH112" i="21"/>
  <c r="AI111" i="21"/>
  <c r="AH111" i="21"/>
  <c r="AI110" i="21"/>
  <c r="AH110" i="21"/>
  <c r="AI109" i="21"/>
  <c r="AH109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C108" i="21"/>
  <c r="AI107" i="21"/>
  <c r="AH107" i="21"/>
  <c r="AI106" i="21"/>
  <c r="AH106" i="21"/>
  <c r="AI105" i="21"/>
  <c r="AH105" i="21"/>
  <c r="AI104" i="21"/>
  <c r="AH104" i="21"/>
  <c r="AI103" i="21"/>
  <c r="AH103" i="21"/>
  <c r="AI102" i="21"/>
  <c r="AH102" i="21"/>
  <c r="AI101" i="21"/>
  <c r="AH101" i="21"/>
  <c r="AI100" i="21"/>
  <c r="AH100" i="21"/>
  <c r="AI99" i="21"/>
  <c r="AH99" i="21"/>
  <c r="AI97" i="21"/>
  <c r="AH97" i="21"/>
  <c r="AI96" i="21"/>
  <c r="AH96" i="21"/>
  <c r="AI95" i="21"/>
  <c r="AH95" i="21"/>
  <c r="AI94" i="21"/>
  <c r="AH94" i="21"/>
  <c r="AI93" i="21"/>
  <c r="AH93" i="21"/>
  <c r="AI92" i="21"/>
  <c r="AH92" i="21"/>
  <c r="AI91" i="21"/>
  <c r="AH91" i="21"/>
  <c r="AI88" i="21"/>
  <c r="AH88" i="21"/>
  <c r="AI86" i="21"/>
  <c r="AH86" i="21"/>
  <c r="AG86" i="21"/>
  <c r="AI85" i="21"/>
  <c r="AH85" i="21"/>
  <c r="AI84" i="21"/>
  <c r="AH84" i="21"/>
  <c r="AI83" i="21"/>
  <c r="AH83" i="21"/>
  <c r="AN82" i="21"/>
  <c r="AG82" i="21"/>
  <c r="AE5" i="21"/>
  <c r="AE82" i="21"/>
  <c r="AE98" i="21" s="1"/>
  <c r="AD82" i="21"/>
  <c r="AD98" i="21" s="1"/>
  <c r="AC82" i="21"/>
  <c r="AC98" i="21" s="1"/>
  <c r="AB82" i="21"/>
  <c r="AB98" i="21" s="1"/>
  <c r="AA82" i="21"/>
  <c r="AA98" i="21" s="1"/>
  <c r="Z82" i="21"/>
  <c r="Z98" i="21" s="1"/>
  <c r="Y82" i="21"/>
  <c r="X5" i="21" s="1"/>
  <c r="X82" i="21"/>
  <c r="W5" i="21" s="1"/>
  <c r="W82" i="21"/>
  <c r="W98" i="21" s="1"/>
  <c r="V82" i="21"/>
  <c r="V98" i="21" s="1"/>
  <c r="U82" i="21"/>
  <c r="U98" i="21" s="1"/>
  <c r="T82" i="21"/>
  <c r="T98" i="21" s="1"/>
  <c r="S82" i="21"/>
  <c r="S98" i="21" s="1"/>
  <c r="R82" i="21"/>
  <c r="R98" i="21" s="1"/>
  <c r="Q82" i="21"/>
  <c r="P5" i="21" s="1"/>
  <c r="P82" i="21"/>
  <c r="O5" i="21" s="1"/>
  <c r="O82" i="21"/>
  <c r="O98" i="21" s="1"/>
  <c r="N82" i="21"/>
  <c r="N98" i="21" s="1"/>
  <c r="M82" i="21"/>
  <c r="M98" i="21" s="1"/>
  <c r="J82" i="21"/>
  <c r="I5" i="21" s="1"/>
  <c r="I82" i="21"/>
  <c r="H5" i="21" s="1"/>
  <c r="H82" i="21"/>
  <c r="G5" i="21" s="1"/>
  <c r="G82" i="21"/>
  <c r="G98" i="21" s="1"/>
  <c r="F82" i="21"/>
  <c r="F98" i="21" s="1"/>
  <c r="E82" i="21"/>
  <c r="E98" i="21" s="1"/>
  <c r="D82" i="21"/>
  <c r="D98" i="21" s="1"/>
  <c r="C82" i="21"/>
  <c r="C98" i="21" s="1"/>
  <c r="AF5" i="21"/>
  <c r="AI81" i="21"/>
  <c r="AH81" i="21"/>
  <c r="AN80" i="21"/>
  <c r="AI80" i="21"/>
  <c r="AH80" i="21"/>
  <c r="AN79" i="21"/>
  <c r="AN81" i="21" s="1"/>
  <c r="AI79" i="21"/>
  <c r="AH79" i="21"/>
  <c r="AI78" i="21"/>
  <c r="AH78" i="21"/>
  <c r="AI77" i="21"/>
  <c r="AH77" i="21"/>
  <c r="AI76" i="21"/>
  <c r="AH76" i="21"/>
  <c r="AI75" i="21"/>
  <c r="AH75" i="21"/>
  <c r="AI74" i="21"/>
  <c r="AH74" i="21"/>
  <c r="AI73" i="21"/>
  <c r="AH73" i="21"/>
  <c r="AI72" i="21"/>
  <c r="AH72" i="21"/>
  <c r="AI71" i="21"/>
  <c r="AH71" i="21"/>
  <c r="AG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AI69" i="21"/>
  <c r="AH69" i="21"/>
  <c r="AI68" i="21"/>
  <c r="AH68" i="21"/>
  <c r="AI67" i="21"/>
  <c r="AH67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J66" i="21"/>
  <c r="I66" i="21"/>
  <c r="H66" i="21"/>
  <c r="G66" i="21"/>
  <c r="F66" i="21"/>
  <c r="E66" i="21"/>
  <c r="D66" i="21"/>
  <c r="C66" i="21"/>
  <c r="AI65" i="21"/>
  <c r="AH65" i="21"/>
  <c r="AI64" i="21"/>
  <c r="AH64" i="21"/>
  <c r="AI63" i="21"/>
  <c r="AH63" i="21"/>
  <c r="AI62" i="21"/>
  <c r="AH62" i="21"/>
  <c r="AI61" i="21"/>
  <c r="AH61" i="21"/>
  <c r="AI60" i="21"/>
  <c r="AH60" i="21"/>
  <c r="AI59" i="21"/>
  <c r="AH59" i="21"/>
  <c r="AI58" i="21"/>
  <c r="AH58" i="21"/>
  <c r="AI57" i="21"/>
  <c r="AH57" i="21"/>
  <c r="AI56" i="21"/>
  <c r="AH56" i="21"/>
  <c r="AI55" i="21"/>
  <c r="AH55" i="21"/>
  <c r="AI54" i="21"/>
  <c r="AH54" i="21"/>
  <c r="AI53" i="21"/>
  <c r="AH53" i="21"/>
  <c r="AG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J52" i="21"/>
  <c r="I52" i="21"/>
  <c r="H52" i="21"/>
  <c r="G52" i="21"/>
  <c r="F52" i="21"/>
  <c r="E52" i="21"/>
  <c r="D52" i="21"/>
  <c r="C52" i="21"/>
  <c r="AI51" i="21"/>
  <c r="AH51" i="21"/>
  <c r="AI50" i="21"/>
  <c r="AH50" i="21"/>
  <c r="AI49" i="21"/>
  <c r="AH49" i="21"/>
  <c r="AG48" i="21"/>
  <c r="AG87" i="21" s="1"/>
  <c r="AD48" i="21"/>
  <c r="AC48" i="21"/>
  <c r="AA48" i="21"/>
  <c r="Z48" i="21"/>
  <c r="Z87" i="21" s="1"/>
  <c r="Z89" i="21" s="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J48" i="21"/>
  <c r="I48" i="21"/>
  <c r="H48" i="21"/>
  <c r="G48" i="21"/>
  <c r="F48" i="21"/>
  <c r="E48" i="21"/>
  <c r="D48" i="21"/>
  <c r="C48" i="21"/>
  <c r="AI47" i="21"/>
  <c r="AH47" i="21"/>
  <c r="AI46" i="21"/>
  <c r="AH46" i="21"/>
  <c r="AI45" i="21"/>
  <c r="AH45" i="21"/>
  <c r="AI44" i="21"/>
  <c r="AH44" i="21"/>
  <c r="AI43" i="21"/>
  <c r="AH43" i="21"/>
  <c r="AI42" i="21"/>
  <c r="AH42" i="21"/>
  <c r="AI41" i="21"/>
  <c r="AH41" i="21"/>
  <c r="AI40" i="21"/>
  <c r="AH40" i="21"/>
  <c r="AI39" i="21"/>
  <c r="AH39" i="21"/>
  <c r="AI38" i="21"/>
  <c r="AH38" i="21"/>
  <c r="AI37" i="21"/>
  <c r="AH37" i="21"/>
  <c r="AI36" i="21"/>
  <c r="AH36" i="21"/>
  <c r="AI35" i="21"/>
  <c r="AH35" i="21"/>
  <c r="AI34" i="21"/>
  <c r="AH34" i="21"/>
  <c r="AI33" i="21"/>
  <c r="AH33" i="21"/>
  <c r="AI32" i="21"/>
  <c r="AH32" i="21"/>
  <c r="AI31" i="21"/>
  <c r="AH31" i="21"/>
  <c r="AI30" i="21"/>
  <c r="AH30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AI23" i="21"/>
  <c r="AH23" i="21"/>
  <c r="AI22" i="21"/>
  <c r="AH22" i="21"/>
  <c r="AI21" i="21"/>
  <c r="AH21" i="21"/>
  <c r="AI20" i="21"/>
  <c r="AH20" i="21"/>
  <c r="AI19" i="21"/>
  <c r="AH19" i="21"/>
  <c r="AI18" i="21"/>
  <c r="AH18" i="21"/>
  <c r="AI17" i="21"/>
  <c r="AH17" i="21"/>
  <c r="AI16" i="21"/>
  <c r="AH16" i="21"/>
  <c r="AI15" i="21"/>
  <c r="AH15" i="21"/>
  <c r="AI14" i="21"/>
  <c r="AH14" i="21"/>
  <c r="AI13" i="21"/>
  <c r="AH13" i="21"/>
  <c r="AI12" i="21"/>
  <c r="AH12" i="21"/>
  <c r="AI11" i="21"/>
  <c r="AH11" i="21"/>
  <c r="AG4" i="21"/>
  <c r="K4" i="21"/>
  <c r="E4" i="21"/>
  <c r="H4" i="21" s="1"/>
  <c r="B4" i="21"/>
  <c r="S243" i="21" s="1"/>
  <c r="AD5" i="21" l="1"/>
  <c r="AB5" i="21"/>
  <c r="AC5" i="21"/>
  <c r="AA5" i="21"/>
  <c r="Y98" i="21"/>
  <c r="Y87" i="21"/>
  <c r="Y89" i="21" s="1"/>
  <c r="V5" i="21"/>
  <c r="U5" i="21"/>
  <c r="T5" i="21"/>
  <c r="S5" i="21"/>
  <c r="M5" i="21"/>
  <c r="R87" i="21"/>
  <c r="R89" i="21" s="1"/>
  <c r="Q87" i="21"/>
  <c r="Q89" i="21" s="1"/>
  <c r="P98" i="21"/>
  <c r="AI70" i="21"/>
  <c r="P87" i="21"/>
  <c r="P89" i="21" s="1"/>
  <c r="N5" i="21"/>
  <c r="N87" i="21"/>
  <c r="N89" i="21" s="1"/>
  <c r="L5" i="21"/>
  <c r="G231" i="21"/>
  <c r="H231" i="21" s="1"/>
  <c r="E267" i="21"/>
  <c r="X87" i="21"/>
  <c r="X89" i="21" s="1"/>
  <c r="X90" i="21" s="1"/>
  <c r="V87" i="21"/>
  <c r="V89" i="21" s="1"/>
  <c r="V7" i="21" s="1"/>
  <c r="AD87" i="21"/>
  <c r="AD89" i="21" s="1"/>
  <c r="AV246" i="21" s="1"/>
  <c r="B232" i="21"/>
  <c r="O87" i="21"/>
  <c r="O89" i="21" s="1"/>
  <c r="O7" i="21" s="1"/>
  <c r="W87" i="21"/>
  <c r="W89" i="21" s="1"/>
  <c r="AO246" i="21" s="1"/>
  <c r="AE87" i="21"/>
  <c r="AE89" i="21" s="1"/>
  <c r="AW246" i="21" s="1"/>
  <c r="K87" i="21"/>
  <c r="K89" i="21" s="1"/>
  <c r="K90" i="21" s="1"/>
  <c r="Q98" i="21"/>
  <c r="AG89" i="21"/>
  <c r="D267" i="21"/>
  <c r="X98" i="21"/>
  <c r="T87" i="21"/>
  <c r="T89" i="21" s="1"/>
  <c r="T90" i="21" s="1"/>
  <c r="AB87" i="21"/>
  <c r="AB89" i="21" s="1"/>
  <c r="AT246" i="21" s="1"/>
  <c r="U87" i="21"/>
  <c r="U89" i="21" s="1"/>
  <c r="U7" i="21" s="1"/>
  <c r="AC87" i="21"/>
  <c r="AC89" i="21" s="1"/>
  <c r="AC7" i="21" s="1"/>
  <c r="S87" i="21"/>
  <c r="S89" i="21" s="1"/>
  <c r="S90" i="21" s="1"/>
  <c r="AA87" i="21"/>
  <c r="AA89" i="21" s="1"/>
  <c r="AA90" i="21" s="1"/>
  <c r="M87" i="21"/>
  <c r="M89" i="21" s="1"/>
  <c r="M7" i="21" s="1"/>
  <c r="K5" i="21"/>
  <c r="L87" i="21"/>
  <c r="L89" i="21" s="1"/>
  <c r="L90" i="21" s="1"/>
  <c r="H98" i="21"/>
  <c r="I98" i="21"/>
  <c r="H87" i="21"/>
  <c r="H89" i="21" s="1"/>
  <c r="H90" i="21" s="1"/>
  <c r="J87" i="21"/>
  <c r="J89" i="21" s="1"/>
  <c r="J90" i="21" s="1"/>
  <c r="I87" i="21"/>
  <c r="I89" i="21" s="1"/>
  <c r="I7" i="21" s="1"/>
  <c r="G87" i="21"/>
  <c r="G89" i="21" s="1"/>
  <c r="Y246" i="21" s="1"/>
  <c r="D5" i="21"/>
  <c r="E5" i="21"/>
  <c r="F5" i="21"/>
  <c r="E87" i="21"/>
  <c r="E89" i="21" s="1"/>
  <c r="E7" i="21" s="1"/>
  <c r="F87" i="21"/>
  <c r="F89" i="21" s="1"/>
  <c r="F7" i="21" s="1"/>
  <c r="C5" i="21"/>
  <c r="AI66" i="21"/>
  <c r="D87" i="21"/>
  <c r="D89" i="21" s="1"/>
  <c r="V246" i="21" s="1"/>
  <c r="AH52" i="21"/>
  <c r="C87" i="21"/>
  <c r="C89" i="21" s="1"/>
  <c r="C90" i="21" s="1"/>
  <c r="AH66" i="21"/>
  <c r="J229" i="21"/>
  <c r="K229" i="21" s="1"/>
  <c r="L229" i="21" s="1"/>
  <c r="M229" i="21" s="1"/>
  <c r="N229" i="21" s="1"/>
  <c r="O229" i="21" s="1"/>
  <c r="P229" i="21" s="1"/>
  <c r="G226" i="21"/>
  <c r="F108" i="21"/>
  <c r="F232" i="21"/>
  <c r="Z246" i="21"/>
  <c r="P7" i="21"/>
  <c r="P90" i="21"/>
  <c r="AH246" i="21"/>
  <c r="AF7" i="21"/>
  <c r="AX246" i="21"/>
  <c r="G267" i="21"/>
  <c r="I231" i="21"/>
  <c r="Y7" i="21"/>
  <c r="Y90" i="21"/>
  <c r="AQ246" i="21"/>
  <c r="Q7" i="21"/>
  <c r="AI246" i="21"/>
  <c r="Q90" i="21"/>
  <c r="R90" i="21"/>
  <c r="AJ246" i="21"/>
  <c r="R7" i="21"/>
  <c r="Z90" i="21"/>
  <c r="Z7" i="21"/>
  <c r="AR246" i="21"/>
  <c r="N7" i="21"/>
  <c r="AF246" i="21"/>
  <c r="N90" i="21"/>
  <c r="AH70" i="21"/>
  <c r="E232" i="21"/>
  <c r="D243" i="21"/>
  <c r="J98" i="21"/>
  <c r="Q5" i="21"/>
  <c r="Y5" i="21"/>
  <c r="B5" i="21"/>
  <c r="J5" i="21"/>
  <c r="R5" i="21"/>
  <c r="Z5" i="21"/>
  <c r="D108" i="21"/>
  <c r="AH82" i="21"/>
  <c r="AH48" i="21"/>
  <c r="AI82" i="21"/>
  <c r="AG2" i="21"/>
  <c r="AG6" i="21" s="1"/>
  <c r="E108" i="21"/>
  <c r="AI48" i="21"/>
  <c r="AI52" i="21"/>
  <c r="F267" i="21"/>
  <c r="AE7" i="21" l="1"/>
  <c r="AE90" i="21"/>
  <c r="AD7" i="21"/>
  <c r="AD90" i="21"/>
  <c r="AC90" i="21"/>
  <c r="AU246" i="21"/>
  <c r="AB7" i="21"/>
  <c r="AB90" i="21"/>
  <c r="AS246" i="21"/>
  <c r="AA7" i="21"/>
  <c r="AP246" i="21"/>
  <c r="X7" i="21"/>
  <c r="W7" i="21"/>
  <c r="W90" i="21"/>
  <c r="V90" i="21"/>
  <c r="AN246" i="21"/>
  <c r="U90" i="21"/>
  <c r="AM246" i="21"/>
  <c r="T7" i="21"/>
  <c r="AL246" i="21"/>
  <c r="O90" i="21"/>
  <c r="AG246" i="21"/>
  <c r="K7" i="21"/>
  <c r="AC246" i="21"/>
  <c r="M90" i="21"/>
  <c r="AE246" i="21"/>
  <c r="L7" i="21"/>
  <c r="D90" i="21"/>
  <c r="AK246" i="21"/>
  <c r="H7" i="21"/>
  <c r="S7" i="21"/>
  <c r="AD246" i="21"/>
  <c r="AA246" i="21"/>
  <c r="G7" i="21"/>
  <c r="G90" i="21"/>
  <c r="I90" i="21"/>
  <c r="J7" i="21"/>
  <c r="B241" i="21"/>
  <c r="AB246" i="21"/>
  <c r="C241" i="21"/>
  <c r="F90" i="21"/>
  <c r="E90" i="21"/>
  <c r="W246" i="21"/>
  <c r="X246" i="21"/>
  <c r="D7" i="21"/>
  <c r="AH87" i="21"/>
  <c r="U246" i="21"/>
  <c r="C7" i="21"/>
  <c r="AI87" i="21"/>
  <c r="AH98" i="21"/>
  <c r="AI98" i="21"/>
  <c r="H226" i="21"/>
  <c r="G232" i="21"/>
  <c r="G108" i="21"/>
  <c r="AI89" i="21"/>
  <c r="T246" i="21"/>
  <c r="AH89" i="21"/>
  <c r="B7" i="21"/>
  <c r="H267" i="21"/>
  <c r="J231" i="21"/>
  <c r="K6" i="21" l="1"/>
  <c r="A7" i="21"/>
  <c r="K231" i="21"/>
  <c r="I267" i="21"/>
  <c r="AI90" i="21"/>
  <c r="AH90" i="21"/>
  <c r="I226" i="21"/>
  <c r="H108" i="21"/>
  <c r="H232" i="21"/>
  <c r="I108" i="21" l="1"/>
  <c r="J226" i="21"/>
  <c r="J267" i="21"/>
  <c r="L231" i="21"/>
  <c r="K267" i="21" l="1"/>
  <c r="M231" i="21"/>
  <c r="J108" i="21"/>
  <c r="K226" i="21"/>
  <c r="K108" i="21" s="1"/>
  <c r="L226" i="21" l="1"/>
  <c r="L108" i="21" s="1"/>
  <c r="L267" i="21"/>
  <c r="N231" i="21"/>
  <c r="M267" i="21" l="1"/>
  <c r="O231" i="21"/>
  <c r="M226" i="21"/>
  <c r="N111" i="20"/>
  <c r="M111" i="20"/>
  <c r="M48" i="20"/>
  <c r="M52" i="20"/>
  <c r="L111" i="20"/>
  <c r="K48" i="20"/>
  <c r="L48" i="20"/>
  <c r="K52" i="20"/>
  <c r="L52" i="20"/>
  <c r="K66" i="20"/>
  <c r="L66" i="20"/>
  <c r="K82" i="20"/>
  <c r="L82" i="20"/>
  <c r="K5" i="20" s="1"/>
  <c r="K98" i="20"/>
  <c r="K110" i="20"/>
  <c r="K108" i="20" s="1"/>
  <c r="L108" i="20"/>
  <c r="J110" i="20"/>
  <c r="J48" i="20"/>
  <c r="J52" i="20"/>
  <c r="J66" i="20"/>
  <c r="J82" i="20"/>
  <c r="J98" i="20" s="1"/>
  <c r="I111" i="20"/>
  <c r="H108" i="20"/>
  <c r="H111" i="20"/>
  <c r="G111" i="20"/>
  <c r="F108" i="20"/>
  <c r="G108" i="20"/>
  <c r="F111" i="20"/>
  <c r="E111" i="20"/>
  <c r="F48" i="20"/>
  <c r="F52" i="20"/>
  <c r="F66" i="20"/>
  <c r="E48" i="20"/>
  <c r="E52" i="20"/>
  <c r="E66" i="20"/>
  <c r="AF271" i="20"/>
  <c r="AE271" i="20"/>
  <c r="AD271" i="20"/>
  <c r="AC271" i="20"/>
  <c r="AB271" i="20"/>
  <c r="AA271" i="20"/>
  <c r="Z271" i="20"/>
  <c r="Y271" i="20"/>
  <c r="X271" i="20"/>
  <c r="W271" i="20"/>
  <c r="V271" i="20"/>
  <c r="U271" i="20"/>
  <c r="T271" i="20"/>
  <c r="S271" i="20"/>
  <c r="R271" i="20"/>
  <c r="Q271" i="20"/>
  <c r="P271" i="20"/>
  <c r="O271" i="20"/>
  <c r="N271" i="20"/>
  <c r="M271" i="20"/>
  <c r="L271" i="20"/>
  <c r="K271" i="20"/>
  <c r="J271" i="20"/>
  <c r="I271" i="20"/>
  <c r="H271" i="20"/>
  <c r="G271" i="20"/>
  <c r="F271" i="20"/>
  <c r="E271" i="20"/>
  <c r="D271" i="20"/>
  <c r="C271" i="20"/>
  <c r="B271" i="20"/>
  <c r="A271" i="20"/>
  <c r="AF270" i="20"/>
  <c r="AE270" i="20"/>
  <c r="AD270" i="20"/>
  <c r="AC270" i="20"/>
  <c r="AB270" i="20"/>
  <c r="AA270" i="20"/>
  <c r="Z270" i="20"/>
  <c r="Y270" i="20"/>
  <c r="X270" i="20"/>
  <c r="W270" i="20"/>
  <c r="V270" i="20"/>
  <c r="U270" i="20"/>
  <c r="T270" i="20"/>
  <c r="S270" i="20"/>
  <c r="R270" i="20"/>
  <c r="Q270" i="20"/>
  <c r="P270" i="20"/>
  <c r="O270" i="20"/>
  <c r="N270" i="20"/>
  <c r="M270" i="20"/>
  <c r="L270" i="20"/>
  <c r="K270" i="20"/>
  <c r="J270" i="20"/>
  <c r="I270" i="20"/>
  <c r="H270" i="20"/>
  <c r="G270" i="20"/>
  <c r="F270" i="20"/>
  <c r="E270" i="20"/>
  <c r="D270" i="20"/>
  <c r="C270" i="20"/>
  <c r="B270" i="20"/>
  <c r="A270" i="20"/>
  <c r="AF269" i="20"/>
  <c r="AE269" i="20"/>
  <c r="AD269" i="20"/>
  <c r="AC269" i="20"/>
  <c r="AB269" i="20"/>
  <c r="AA269" i="20"/>
  <c r="Z269" i="20"/>
  <c r="Y269" i="20"/>
  <c r="X269" i="20"/>
  <c r="W269" i="20"/>
  <c r="V269" i="20"/>
  <c r="U269" i="20"/>
  <c r="T269" i="20"/>
  <c r="S269" i="20"/>
  <c r="R269" i="20"/>
  <c r="Q269" i="20"/>
  <c r="P269" i="20"/>
  <c r="O269" i="20"/>
  <c r="N269" i="20"/>
  <c r="M269" i="20"/>
  <c r="L269" i="20"/>
  <c r="K269" i="20"/>
  <c r="J269" i="20"/>
  <c r="I269" i="20"/>
  <c r="H269" i="20"/>
  <c r="G269" i="20"/>
  <c r="F269" i="20"/>
  <c r="E269" i="20"/>
  <c r="D269" i="20"/>
  <c r="C269" i="20"/>
  <c r="B269" i="20"/>
  <c r="A269" i="20"/>
  <c r="AF268" i="20"/>
  <c r="AE268" i="20"/>
  <c r="AD268" i="20"/>
  <c r="AC268" i="20"/>
  <c r="AB268" i="20"/>
  <c r="AA268" i="20"/>
  <c r="Z268" i="20"/>
  <c r="Y268" i="20"/>
  <c r="X268" i="20"/>
  <c r="W268" i="20"/>
  <c r="V268" i="20"/>
  <c r="U268" i="20"/>
  <c r="T268" i="20"/>
  <c r="S268" i="20"/>
  <c r="R268" i="20"/>
  <c r="Q268" i="20"/>
  <c r="P268" i="20"/>
  <c r="O268" i="20"/>
  <c r="N268" i="20"/>
  <c r="M268" i="20"/>
  <c r="L268" i="20"/>
  <c r="K268" i="20"/>
  <c r="J268" i="20"/>
  <c r="I268" i="20"/>
  <c r="H268" i="20"/>
  <c r="G268" i="20"/>
  <c r="F268" i="20"/>
  <c r="E268" i="20"/>
  <c r="D268" i="20"/>
  <c r="C268" i="20"/>
  <c r="B268" i="20"/>
  <c r="A268" i="20"/>
  <c r="AE267" i="20"/>
  <c r="AD267" i="20"/>
  <c r="AC267" i="20"/>
  <c r="AB267" i="20"/>
  <c r="AA267" i="20"/>
  <c r="Z267" i="20"/>
  <c r="Y267" i="20"/>
  <c r="X267" i="20"/>
  <c r="W267" i="20"/>
  <c r="V267" i="20"/>
  <c r="U267" i="20"/>
  <c r="T267" i="20"/>
  <c r="S267" i="20"/>
  <c r="R267" i="20"/>
  <c r="Q267" i="20"/>
  <c r="P267" i="20"/>
  <c r="C267" i="20"/>
  <c r="B267" i="20"/>
  <c r="S242" i="20"/>
  <c r="AG232" i="20"/>
  <c r="AF232" i="20"/>
  <c r="AE232" i="20"/>
  <c r="AD232" i="20"/>
  <c r="AC232" i="20"/>
  <c r="AB232" i="20"/>
  <c r="AA232" i="20"/>
  <c r="Z232" i="20"/>
  <c r="Y232" i="20"/>
  <c r="X232" i="20"/>
  <c r="W232" i="20"/>
  <c r="V232" i="20"/>
  <c r="U232" i="20"/>
  <c r="T232" i="20"/>
  <c r="S232" i="20"/>
  <c r="R232" i="20"/>
  <c r="Q232" i="20"/>
  <c r="C232" i="20"/>
  <c r="F231" i="20"/>
  <c r="E267" i="20" s="1"/>
  <c r="E231" i="20"/>
  <c r="D267" i="20" s="1"/>
  <c r="D231" i="20"/>
  <c r="B231" i="20"/>
  <c r="AF267" i="20" s="1"/>
  <c r="D230" i="20"/>
  <c r="E230" i="20" s="1"/>
  <c r="F230" i="20" s="1"/>
  <c r="G230" i="20" s="1"/>
  <c r="H230" i="20" s="1"/>
  <c r="I230" i="20" s="1"/>
  <c r="J230" i="20" s="1"/>
  <c r="K230" i="20" s="1"/>
  <c r="L230" i="20" s="1"/>
  <c r="M230" i="20" s="1"/>
  <c r="N230" i="20" s="1"/>
  <c r="O230" i="20" s="1"/>
  <c r="P230" i="20" s="1"/>
  <c r="B230" i="20"/>
  <c r="E229" i="20"/>
  <c r="F229" i="20" s="1"/>
  <c r="G229" i="20" s="1"/>
  <c r="H229" i="20" s="1"/>
  <c r="I229" i="20" s="1"/>
  <c r="D229" i="20"/>
  <c r="B229" i="20"/>
  <c r="E228" i="20"/>
  <c r="F228" i="20" s="1"/>
  <c r="G228" i="20" s="1"/>
  <c r="H228" i="20" s="1"/>
  <c r="D228" i="20"/>
  <c r="B228" i="20"/>
  <c r="F227" i="20"/>
  <c r="G227" i="20" s="1"/>
  <c r="H227" i="20" s="1"/>
  <c r="I227" i="20" s="1"/>
  <c r="J227" i="20" s="1"/>
  <c r="K227" i="20" s="1"/>
  <c r="L227" i="20" s="1"/>
  <c r="M227" i="20" s="1"/>
  <c r="N227" i="20" s="1"/>
  <c r="O227" i="20" s="1"/>
  <c r="P227" i="20" s="1"/>
  <c r="E227" i="20"/>
  <c r="D227" i="20"/>
  <c r="B227" i="20"/>
  <c r="B232" i="20" s="1"/>
  <c r="D226" i="20"/>
  <c r="D232" i="20" s="1"/>
  <c r="B226" i="20"/>
  <c r="AG224" i="20"/>
  <c r="AF224" i="20"/>
  <c r="AE224" i="20"/>
  <c r="AD224" i="20"/>
  <c r="AC224" i="20"/>
  <c r="AB224" i="20"/>
  <c r="AA224" i="20"/>
  <c r="Z224" i="20"/>
  <c r="Y224" i="20"/>
  <c r="X224" i="20"/>
  <c r="W224" i="20"/>
  <c r="V224" i="20"/>
  <c r="U224" i="20"/>
  <c r="T224" i="20"/>
  <c r="S224" i="20"/>
  <c r="R224" i="20"/>
  <c r="Q224" i="20"/>
  <c r="P224" i="20"/>
  <c r="O224" i="20"/>
  <c r="N224" i="20"/>
  <c r="M224" i="20"/>
  <c r="L224" i="20"/>
  <c r="K224" i="20"/>
  <c r="J224" i="20"/>
  <c r="I224" i="20"/>
  <c r="H224" i="20"/>
  <c r="G224" i="20"/>
  <c r="F224" i="20"/>
  <c r="E224" i="20"/>
  <c r="D224" i="20"/>
  <c r="C224" i="20"/>
  <c r="B224" i="20"/>
  <c r="AI117" i="20"/>
  <c r="AH117" i="20"/>
  <c r="AI116" i="20"/>
  <c r="AH116" i="20"/>
  <c r="AI115" i="20"/>
  <c r="AH115" i="20"/>
  <c r="AI114" i="20"/>
  <c r="AH114" i="20"/>
  <c r="AI113" i="20"/>
  <c r="AH113" i="20"/>
  <c r="AI112" i="20"/>
  <c r="AH112" i="20"/>
  <c r="AI111" i="20"/>
  <c r="AH111" i="20"/>
  <c r="AI109" i="20"/>
  <c r="AH109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C108" i="20"/>
  <c r="B108" i="20"/>
  <c r="AI107" i="20"/>
  <c r="AH107" i="20"/>
  <c r="AI106" i="20"/>
  <c r="AH106" i="20"/>
  <c r="AI105" i="20"/>
  <c r="AH105" i="20"/>
  <c r="AI104" i="20"/>
  <c r="AH104" i="20"/>
  <c r="AI103" i="20"/>
  <c r="AH103" i="20"/>
  <c r="AI102" i="20"/>
  <c r="AH102" i="20"/>
  <c r="AI101" i="20"/>
  <c r="AH101" i="20"/>
  <c r="AI100" i="20"/>
  <c r="AH100" i="20"/>
  <c r="AI99" i="20"/>
  <c r="AH99" i="20"/>
  <c r="P98" i="20"/>
  <c r="AI97" i="20"/>
  <c r="AH97" i="20"/>
  <c r="AI96" i="20"/>
  <c r="AH96" i="20"/>
  <c r="AI95" i="20"/>
  <c r="AH95" i="20"/>
  <c r="AI94" i="20"/>
  <c r="AH94" i="20"/>
  <c r="AI93" i="20"/>
  <c r="AH93" i="20"/>
  <c r="AI92" i="20"/>
  <c r="AH92" i="20"/>
  <c r="AI91" i="20"/>
  <c r="AH91" i="20"/>
  <c r="AI88" i="20"/>
  <c r="AH88" i="20"/>
  <c r="AI86" i="20"/>
  <c r="AH86" i="20"/>
  <c r="AG86" i="20"/>
  <c r="AI85" i="20"/>
  <c r="AH85" i="20"/>
  <c r="AI84" i="20"/>
  <c r="AH84" i="20"/>
  <c r="AI83" i="20"/>
  <c r="AH83" i="20"/>
  <c r="AN82" i="20"/>
  <c r="AG82" i="20"/>
  <c r="AF82" i="20"/>
  <c r="AE5" i="20" s="1"/>
  <c r="AE82" i="20"/>
  <c r="AE98" i="20" s="1"/>
  <c r="AD82" i="20"/>
  <c r="AD98" i="20" s="1"/>
  <c r="AC82" i="20"/>
  <c r="AC98" i="20" s="1"/>
  <c r="AB82" i="20"/>
  <c r="AB98" i="20" s="1"/>
  <c r="AA82" i="20"/>
  <c r="AA98" i="20" s="1"/>
  <c r="Z82" i="20"/>
  <c r="Z98" i="20" s="1"/>
  <c r="Y82" i="20"/>
  <c r="X5" i="20" s="1"/>
  <c r="X82" i="20"/>
  <c r="W5" i="20" s="1"/>
  <c r="W82" i="20"/>
  <c r="W98" i="20" s="1"/>
  <c r="V82" i="20"/>
  <c r="V98" i="20" s="1"/>
  <c r="U82" i="20"/>
  <c r="U98" i="20" s="1"/>
  <c r="T82" i="20"/>
  <c r="T98" i="20" s="1"/>
  <c r="S82" i="20"/>
  <c r="S98" i="20" s="1"/>
  <c r="R82" i="20"/>
  <c r="R98" i="20" s="1"/>
  <c r="Q82" i="20"/>
  <c r="P5" i="20" s="1"/>
  <c r="P82" i="20"/>
  <c r="O82" i="20"/>
  <c r="O98" i="20" s="1"/>
  <c r="N82" i="20"/>
  <c r="N98" i="20" s="1"/>
  <c r="M82" i="20"/>
  <c r="M98" i="20" s="1"/>
  <c r="I82" i="20"/>
  <c r="H5" i="20" s="1"/>
  <c r="H82" i="20"/>
  <c r="G5" i="20" s="1"/>
  <c r="G82" i="20"/>
  <c r="G98" i="20" s="1"/>
  <c r="F82" i="20"/>
  <c r="F98" i="20" s="1"/>
  <c r="E82" i="20"/>
  <c r="E98" i="20" s="1"/>
  <c r="D82" i="20"/>
  <c r="D98" i="20" s="1"/>
  <c r="C82" i="20"/>
  <c r="C98" i="20" s="1"/>
  <c r="B82" i="20"/>
  <c r="B98" i="20" s="1"/>
  <c r="AN81" i="20"/>
  <c r="AI81" i="20"/>
  <c r="AH81" i="20"/>
  <c r="AN80" i="20"/>
  <c r="AI80" i="20"/>
  <c r="AH80" i="20"/>
  <c r="AN79" i="20"/>
  <c r="AI79" i="20"/>
  <c r="AH79" i="20"/>
  <c r="AI78" i="20"/>
  <c r="AH78" i="20"/>
  <c r="AI77" i="20"/>
  <c r="AH77" i="20"/>
  <c r="AI76" i="20"/>
  <c r="AH76" i="20"/>
  <c r="AI75" i="20"/>
  <c r="AH75" i="20"/>
  <c r="AI74" i="20"/>
  <c r="AH74" i="20"/>
  <c r="AI73" i="20"/>
  <c r="AH73" i="20"/>
  <c r="AI72" i="20"/>
  <c r="AH72" i="20"/>
  <c r="AI71" i="20"/>
  <c r="AH71" i="20"/>
  <c r="AG70" i="20"/>
  <c r="AF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M70" i="20"/>
  <c r="B70" i="20"/>
  <c r="AI69" i="20"/>
  <c r="AH69" i="20"/>
  <c r="AI68" i="20"/>
  <c r="AH68" i="20"/>
  <c r="AI67" i="20"/>
  <c r="AH67" i="20"/>
  <c r="AF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I66" i="20"/>
  <c r="H66" i="20"/>
  <c r="G66" i="20"/>
  <c r="D66" i="20"/>
  <c r="C66" i="20"/>
  <c r="B66" i="20"/>
  <c r="AI65" i="20"/>
  <c r="AH65" i="20"/>
  <c r="AG65" i="20"/>
  <c r="AG66" i="20" s="1"/>
  <c r="AG3" i="20" s="1"/>
  <c r="AI64" i="20"/>
  <c r="AH64" i="20"/>
  <c r="AI63" i="20"/>
  <c r="AH63" i="20"/>
  <c r="AI62" i="20"/>
  <c r="AH62" i="20"/>
  <c r="AI61" i="20"/>
  <c r="AH61" i="20"/>
  <c r="AI60" i="20"/>
  <c r="AH60" i="20"/>
  <c r="AI59" i="20"/>
  <c r="AH59" i="20"/>
  <c r="AI58" i="20"/>
  <c r="AH58" i="20"/>
  <c r="AI57" i="20"/>
  <c r="AH57" i="20"/>
  <c r="AI56" i="20"/>
  <c r="AH56" i="20"/>
  <c r="AI55" i="20"/>
  <c r="AH55" i="20"/>
  <c r="AI54" i="20"/>
  <c r="AH54" i="20"/>
  <c r="AI53" i="20"/>
  <c r="AH53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I52" i="20"/>
  <c r="H52" i="20"/>
  <c r="G52" i="20"/>
  <c r="D52" i="20"/>
  <c r="C52" i="20"/>
  <c r="B52" i="20"/>
  <c r="AI51" i="20"/>
  <c r="AH51" i="20"/>
  <c r="AI50" i="20"/>
  <c r="AH50" i="20"/>
  <c r="AI49" i="20"/>
  <c r="AH49" i="20"/>
  <c r="AG48" i="20"/>
  <c r="AG87" i="20" s="1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R87" i="20" s="1"/>
  <c r="R89" i="20" s="1"/>
  <c r="Q48" i="20"/>
  <c r="P48" i="20"/>
  <c r="O48" i="20"/>
  <c r="N48" i="20"/>
  <c r="I48" i="20"/>
  <c r="H48" i="20"/>
  <c r="G48" i="20"/>
  <c r="D48" i="20"/>
  <c r="D87" i="20" s="1"/>
  <c r="D89" i="20" s="1"/>
  <c r="C48" i="20"/>
  <c r="B48" i="20"/>
  <c r="AI47" i="20"/>
  <c r="AH47" i="20"/>
  <c r="AI46" i="20"/>
  <c r="AH46" i="20"/>
  <c r="AI45" i="20"/>
  <c r="AH45" i="20"/>
  <c r="AI44" i="20"/>
  <c r="AH44" i="20"/>
  <c r="AI43" i="20"/>
  <c r="AH43" i="20"/>
  <c r="AI42" i="20"/>
  <c r="AH42" i="20"/>
  <c r="AI41" i="20"/>
  <c r="AH41" i="20"/>
  <c r="AI40" i="20"/>
  <c r="AH40" i="20"/>
  <c r="AI39" i="20"/>
  <c r="AH39" i="20"/>
  <c r="AI38" i="20"/>
  <c r="AH38" i="20"/>
  <c r="AI37" i="20"/>
  <c r="AH37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AB5" i="20"/>
  <c r="U5" i="20"/>
  <c r="O5" i="20"/>
  <c r="J5" i="20"/>
  <c r="AG4" i="20"/>
  <c r="K4" i="20"/>
  <c r="E4" i="20"/>
  <c r="H4" i="20" s="1"/>
  <c r="B4" i="20"/>
  <c r="S243" i="20" s="1"/>
  <c r="AG2" i="20"/>
  <c r="AG6" i="20" s="1"/>
  <c r="AC111" i="19"/>
  <c r="AB111" i="19"/>
  <c r="X48" i="19"/>
  <c r="S87" i="19"/>
  <c r="S89" i="19" s="1"/>
  <c r="T87" i="19"/>
  <c r="U87" i="19"/>
  <c r="T89" i="19"/>
  <c r="U89" i="19"/>
  <c r="S111" i="19"/>
  <c r="T111" i="19"/>
  <c r="R111" i="19"/>
  <c r="M108" i="21" l="1"/>
  <c r="N226" i="21"/>
  <c r="N267" i="21"/>
  <c r="P231" i="21"/>
  <c r="O267" i="21" s="1"/>
  <c r="AF98" i="20"/>
  <c r="AF87" i="20"/>
  <c r="AF89" i="20" s="1"/>
  <c r="AE87" i="20"/>
  <c r="AE89" i="20" s="1"/>
  <c r="AD5" i="20"/>
  <c r="AC5" i="20"/>
  <c r="AD87" i="20"/>
  <c r="AD89" i="20" s="1"/>
  <c r="AC87" i="20"/>
  <c r="AC89" i="20" s="1"/>
  <c r="AA5" i="20"/>
  <c r="AB87" i="20"/>
  <c r="AB89" i="20" s="1"/>
  <c r="Z5" i="20"/>
  <c r="AA87" i="20"/>
  <c r="AA89" i="20" s="1"/>
  <c r="Y5" i="20"/>
  <c r="Z87" i="20"/>
  <c r="Z89" i="20" s="1"/>
  <c r="Y87" i="20"/>
  <c r="Y89" i="20" s="1"/>
  <c r="X87" i="20"/>
  <c r="X89" i="20" s="1"/>
  <c r="X98" i="20"/>
  <c r="V5" i="20"/>
  <c r="W87" i="20"/>
  <c r="W89" i="20" s="1"/>
  <c r="V87" i="20"/>
  <c r="V89" i="20" s="1"/>
  <c r="T5" i="20"/>
  <c r="U87" i="20"/>
  <c r="U89" i="20" s="1"/>
  <c r="T87" i="20"/>
  <c r="T89" i="20" s="1"/>
  <c r="S5" i="20"/>
  <c r="R5" i="20"/>
  <c r="S87" i="20"/>
  <c r="S89" i="20" s="1"/>
  <c r="Q5" i="20"/>
  <c r="Q87" i="20"/>
  <c r="Q89" i="20" s="1"/>
  <c r="P87" i="20"/>
  <c r="P89" i="20" s="1"/>
  <c r="N5" i="20"/>
  <c r="O87" i="20"/>
  <c r="O89" i="20" s="1"/>
  <c r="M5" i="20"/>
  <c r="N87" i="20"/>
  <c r="N89" i="20" s="1"/>
  <c r="L5" i="20"/>
  <c r="AI70" i="20"/>
  <c r="M87" i="20"/>
  <c r="M89" i="20" s="1"/>
  <c r="M7" i="20" s="1"/>
  <c r="L98" i="20"/>
  <c r="K87" i="20"/>
  <c r="K89" i="20" s="1"/>
  <c r="K90" i="20" s="1"/>
  <c r="L87" i="20"/>
  <c r="L89" i="20" s="1"/>
  <c r="L90" i="20" s="1"/>
  <c r="AH110" i="20"/>
  <c r="AI110" i="20"/>
  <c r="J87" i="20"/>
  <c r="J89" i="20" s="1"/>
  <c r="J90" i="20" s="1"/>
  <c r="I5" i="20"/>
  <c r="H98" i="20"/>
  <c r="I87" i="20"/>
  <c r="I89" i="20" s="1"/>
  <c r="I90" i="20" s="1"/>
  <c r="H87" i="20"/>
  <c r="H89" i="20" s="1"/>
  <c r="Z246" i="20" s="1"/>
  <c r="F5" i="20"/>
  <c r="G87" i="20"/>
  <c r="G89" i="20" s="1"/>
  <c r="G90" i="20" s="1"/>
  <c r="AI52" i="20"/>
  <c r="E5" i="20"/>
  <c r="F87" i="20"/>
  <c r="F89" i="20" s="1"/>
  <c r="F90" i="20" s="1"/>
  <c r="D5" i="20"/>
  <c r="E87" i="20"/>
  <c r="E89" i="20" s="1"/>
  <c r="E7" i="20" s="1"/>
  <c r="C5" i="20"/>
  <c r="B5" i="20"/>
  <c r="C87" i="20"/>
  <c r="C89" i="20" s="1"/>
  <c r="AH66" i="20"/>
  <c r="AI66" i="20"/>
  <c r="AF5" i="20"/>
  <c r="B87" i="20"/>
  <c r="N7" i="20"/>
  <c r="AF246" i="20"/>
  <c r="N90" i="20"/>
  <c r="H7" i="20"/>
  <c r="P90" i="20"/>
  <c r="P7" i="20"/>
  <c r="AH246" i="20"/>
  <c r="X90" i="20"/>
  <c r="X7" i="20"/>
  <c r="AP246" i="20"/>
  <c r="AF90" i="20"/>
  <c r="AF7" i="20"/>
  <c r="AX246" i="20"/>
  <c r="AG89" i="20"/>
  <c r="AJ246" i="20"/>
  <c r="R90" i="20"/>
  <c r="R7" i="20"/>
  <c r="F7" i="20"/>
  <c r="X246" i="20"/>
  <c r="V7" i="20"/>
  <c r="AN246" i="20"/>
  <c r="V90" i="20"/>
  <c r="I7" i="20"/>
  <c r="Q90" i="20"/>
  <c r="AI246" i="20"/>
  <c r="Q7" i="20"/>
  <c r="Y90" i="20"/>
  <c r="AQ246" i="20"/>
  <c r="Y7" i="20"/>
  <c r="Z90" i="20"/>
  <c r="Z7" i="20"/>
  <c r="AR246" i="20"/>
  <c r="S90" i="20"/>
  <c r="S7" i="20"/>
  <c r="AK246" i="20"/>
  <c r="L7" i="20"/>
  <c r="AD246" i="20"/>
  <c r="AB90" i="20"/>
  <c r="AB7" i="20"/>
  <c r="AT246" i="20"/>
  <c r="J229" i="20"/>
  <c r="K229" i="20" s="1"/>
  <c r="L229" i="20" s="1"/>
  <c r="M229" i="20" s="1"/>
  <c r="N229" i="20" s="1"/>
  <c r="O229" i="20" s="1"/>
  <c r="P229" i="20" s="1"/>
  <c r="AB246" i="20"/>
  <c r="C90" i="20"/>
  <c r="C7" i="20"/>
  <c r="U246" i="20"/>
  <c r="AC246" i="20"/>
  <c r="AA90" i="20"/>
  <c r="AA7" i="20"/>
  <c r="AS246" i="20"/>
  <c r="W246" i="20"/>
  <c r="D90" i="20"/>
  <c r="D7" i="20"/>
  <c r="V246" i="20"/>
  <c r="T90" i="20"/>
  <c r="T7" i="20"/>
  <c r="AL246" i="20"/>
  <c r="U7" i="20"/>
  <c r="AM246" i="20"/>
  <c r="U90" i="20"/>
  <c r="AD7" i="20"/>
  <c r="AV246" i="20"/>
  <c r="AD90" i="20"/>
  <c r="AC7" i="20"/>
  <c r="AU246" i="20"/>
  <c r="AC90" i="20"/>
  <c r="Y246" i="20"/>
  <c r="G7" i="20"/>
  <c r="AG246" i="20"/>
  <c r="O90" i="20"/>
  <c r="O7" i="20"/>
  <c r="AO246" i="20"/>
  <c r="W90" i="20"/>
  <c r="W7" i="20"/>
  <c r="AW246" i="20"/>
  <c r="AE90" i="20"/>
  <c r="AE7" i="20"/>
  <c r="AH70" i="20"/>
  <c r="D243" i="20"/>
  <c r="D108" i="20"/>
  <c r="AH82" i="20"/>
  <c r="I98" i="20"/>
  <c r="Q98" i="20"/>
  <c r="Y98" i="20"/>
  <c r="E226" i="20"/>
  <c r="G231" i="20"/>
  <c r="AH48" i="20"/>
  <c r="AH52" i="20"/>
  <c r="AI82" i="20"/>
  <c r="AI48" i="20"/>
  <c r="J7" i="20" l="1"/>
  <c r="H90" i="20"/>
  <c r="K7" i="20"/>
  <c r="E90" i="20"/>
  <c r="O226" i="21"/>
  <c r="N108" i="21"/>
  <c r="AH98" i="20"/>
  <c r="M90" i="20"/>
  <c r="AE246" i="20"/>
  <c r="AA246" i="20"/>
  <c r="AI98" i="20"/>
  <c r="B241" i="20"/>
  <c r="C241" i="20"/>
  <c r="AH87" i="20"/>
  <c r="AI87" i="20"/>
  <c r="B89" i="20"/>
  <c r="AH89" i="20" s="1"/>
  <c r="F267" i="20"/>
  <c r="H231" i="20"/>
  <c r="T246" i="20"/>
  <c r="B90" i="20"/>
  <c r="AI89" i="20"/>
  <c r="B7" i="20"/>
  <c r="A7" i="20" s="1"/>
  <c r="E108" i="20"/>
  <c r="F226" i="20"/>
  <c r="E232" i="20"/>
  <c r="P226" i="21" l="1"/>
  <c r="O108" i="21"/>
  <c r="K6" i="20"/>
  <c r="AI90" i="20"/>
  <c r="AH90" i="20"/>
  <c r="G267" i="20"/>
  <c r="I231" i="20"/>
  <c r="G226" i="20"/>
  <c r="F232" i="20"/>
  <c r="AI108" i="21" l="1"/>
  <c r="AH108" i="21"/>
  <c r="H226" i="20"/>
  <c r="G232" i="20"/>
  <c r="H267" i="20"/>
  <c r="J231" i="20"/>
  <c r="K231" i="20" l="1"/>
  <c r="I267" i="20"/>
  <c r="I226" i="20"/>
  <c r="H232" i="20"/>
  <c r="I108" i="20" l="1"/>
  <c r="J226" i="20"/>
  <c r="J267" i="20"/>
  <c r="L231" i="20"/>
  <c r="J108" i="20" l="1"/>
  <c r="K226" i="20"/>
  <c r="M231" i="20"/>
  <c r="K267" i="20"/>
  <c r="L267" i="20" l="1"/>
  <c r="N231" i="20"/>
  <c r="L226" i="20"/>
  <c r="M226" i="20" l="1"/>
  <c r="M267" i="20"/>
  <c r="O231" i="20"/>
  <c r="N267" i="20" l="1"/>
  <c r="P231" i="20"/>
  <c r="O267" i="20" s="1"/>
  <c r="N226" i="20"/>
  <c r="M108" i="20"/>
  <c r="O226" i="20" l="1"/>
  <c r="N108" i="20"/>
  <c r="P226" i="20" l="1"/>
  <c r="O108" i="20"/>
  <c r="AI108" i="20" l="1"/>
  <c r="AH108" i="20"/>
  <c r="Q111" i="19" l="1"/>
  <c r="Q48" i="19"/>
  <c r="Q52" i="19"/>
  <c r="Q66" i="19"/>
  <c r="Q70" i="19"/>
  <c r="Q82" i="19"/>
  <c r="Q98" i="19" s="1"/>
  <c r="N108" i="19"/>
  <c r="N111" i="19"/>
  <c r="O111" i="19"/>
  <c r="O108" i="19" s="1"/>
  <c r="P111" i="19"/>
  <c r="N48" i="19"/>
  <c r="O48" i="19"/>
  <c r="N52" i="19"/>
  <c r="O52" i="19"/>
  <c r="N66" i="19"/>
  <c r="O66" i="19"/>
  <c r="N70" i="19"/>
  <c r="O70" i="19"/>
  <c r="M111" i="19"/>
  <c r="M48" i="19"/>
  <c r="Q87" i="19" l="1"/>
  <c r="Q89" i="19" s="1"/>
  <c r="Q90" i="19" s="1"/>
  <c r="C70" i="19" l="1"/>
  <c r="D70" i="19"/>
  <c r="E70" i="19"/>
  <c r="F70" i="19"/>
  <c r="G70" i="19"/>
  <c r="H70" i="19"/>
  <c r="I70" i="19"/>
  <c r="J70" i="19"/>
  <c r="K70" i="19"/>
  <c r="L70" i="19"/>
  <c r="B108" i="19"/>
  <c r="B82" i="19"/>
  <c r="B98" i="19" s="1"/>
  <c r="B70" i="19"/>
  <c r="B66" i="19"/>
  <c r="B52" i="19"/>
  <c r="B48" i="19"/>
  <c r="AF271" i="19"/>
  <c r="AE271" i="19"/>
  <c r="AD271" i="19"/>
  <c r="AC271" i="19"/>
  <c r="AB271" i="19"/>
  <c r="AA271" i="19"/>
  <c r="Z271" i="19"/>
  <c r="Y271" i="19"/>
  <c r="X271" i="19"/>
  <c r="W271" i="19"/>
  <c r="V271" i="19"/>
  <c r="U271" i="19"/>
  <c r="T271" i="19"/>
  <c r="S271" i="19"/>
  <c r="R271" i="19"/>
  <c r="Q271" i="19"/>
  <c r="P271" i="19"/>
  <c r="O271" i="19"/>
  <c r="N271" i="19"/>
  <c r="M271" i="19"/>
  <c r="L271" i="19"/>
  <c r="K271" i="19"/>
  <c r="J271" i="19"/>
  <c r="I271" i="19"/>
  <c r="H271" i="19"/>
  <c r="G271" i="19"/>
  <c r="F271" i="19"/>
  <c r="E271" i="19"/>
  <c r="D271" i="19"/>
  <c r="C271" i="19"/>
  <c r="B271" i="19"/>
  <c r="A271" i="19"/>
  <c r="AF270" i="19"/>
  <c r="AE270" i="19"/>
  <c r="AD270" i="19"/>
  <c r="AC270" i="19"/>
  <c r="AB270" i="19"/>
  <c r="AA270" i="19"/>
  <c r="Z270" i="19"/>
  <c r="Y270" i="19"/>
  <c r="X270" i="19"/>
  <c r="W270" i="19"/>
  <c r="V270" i="19"/>
  <c r="U270" i="19"/>
  <c r="T270" i="19"/>
  <c r="S270" i="19"/>
  <c r="R270" i="19"/>
  <c r="Q270" i="19"/>
  <c r="P270" i="19"/>
  <c r="O270" i="19"/>
  <c r="N270" i="19"/>
  <c r="M270" i="19"/>
  <c r="L270" i="19"/>
  <c r="K270" i="19"/>
  <c r="J270" i="19"/>
  <c r="I270" i="19"/>
  <c r="H270" i="19"/>
  <c r="G270" i="19"/>
  <c r="F270" i="19"/>
  <c r="E270" i="19"/>
  <c r="D270" i="19"/>
  <c r="C270" i="19"/>
  <c r="B270" i="19"/>
  <c r="A270" i="19"/>
  <c r="AF269" i="19"/>
  <c r="AE269" i="19"/>
  <c r="AD269" i="19"/>
  <c r="AC269" i="19"/>
  <c r="AB269" i="19"/>
  <c r="AA269" i="19"/>
  <c r="Z269" i="19"/>
  <c r="Y269" i="19"/>
  <c r="X269" i="19"/>
  <c r="W269" i="19"/>
  <c r="V269" i="19"/>
  <c r="U269" i="19"/>
  <c r="T269" i="19"/>
  <c r="S269" i="19"/>
  <c r="R269" i="19"/>
  <c r="Q269" i="19"/>
  <c r="P269" i="19"/>
  <c r="O269" i="19"/>
  <c r="N269" i="19"/>
  <c r="M269" i="19"/>
  <c r="L269" i="19"/>
  <c r="K269" i="19"/>
  <c r="J269" i="19"/>
  <c r="I269" i="19"/>
  <c r="H269" i="19"/>
  <c r="G269" i="19"/>
  <c r="F269" i="19"/>
  <c r="E269" i="19"/>
  <c r="D269" i="19"/>
  <c r="C269" i="19"/>
  <c r="B269" i="19"/>
  <c r="A269" i="19"/>
  <c r="AF268" i="19"/>
  <c r="AE268" i="19"/>
  <c r="AD268" i="19"/>
  <c r="AC268" i="19"/>
  <c r="AB268" i="19"/>
  <c r="AA268" i="19"/>
  <c r="Z268" i="19"/>
  <c r="Y268" i="19"/>
  <c r="X268" i="19"/>
  <c r="W268" i="19"/>
  <c r="V268" i="19"/>
  <c r="U268" i="19"/>
  <c r="T268" i="19"/>
  <c r="S268" i="19"/>
  <c r="R268" i="19"/>
  <c r="Q268" i="19"/>
  <c r="P268" i="19"/>
  <c r="O268" i="19"/>
  <c r="N268" i="19"/>
  <c r="M268" i="19"/>
  <c r="L268" i="19"/>
  <c r="K268" i="19"/>
  <c r="J268" i="19"/>
  <c r="I268" i="19"/>
  <c r="H268" i="19"/>
  <c r="G268" i="19"/>
  <c r="F268" i="19"/>
  <c r="E268" i="19"/>
  <c r="D268" i="19"/>
  <c r="C268" i="19"/>
  <c r="B268" i="19"/>
  <c r="A268" i="19"/>
  <c r="AE267" i="19"/>
  <c r="AD267" i="19"/>
  <c r="AC267" i="19"/>
  <c r="AB267" i="19"/>
  <c r="AA267" i="19"/>
  <c r="Z267" i="19"/>
  <c r="Y267" i="19"/>
  <c r="X267" i="19"/>
  <c r="W267" i="19"/>
  <c r="V267" i="19"/>
  <c r="U267" i="19"/>
  <c r="T267" i="19"/>
  <c r="S267" i="19"/>
  <c r="R267" i="19"/>
  <c r="Q267" i="19"/>
  <c r="P267" i="19"/>
  <c r="E267" i="19"/>
  <c r="D267" i="19"/>
  <c r="C267" i="19"/>
  <c r="B267" i="19"/>
  <c r="S242" i="19"/>
  <c r="AG232" i="19"/>
  <c r="AG65" i="19" s="1"/>
  <c r="AG66" i="19" s="1"/>
  <c r="AG3" i="19" s="1"/>
  <c r="AF232" i="19"/>
  <c r="AE232" i="19"/>
  <c r="AD232" i="19"/>
  <c r="AC232" i="19"/>
  <c r="AB232" i="19"/>
  <c r="AA232" i="19"/>
  <c r="Z232" i="19"/>
  <c r="Y232" i="19"/>
  <c r="X232" i="19"/>
  <c r="W232" i="19"/>
  <c r="V232" i="19"/>
  <c r="U232" i="19"/>
  <c r="T232" i="19"/>
  <c r="S232" i="19"/>
  <c r="R232" i="19"/>
  <c r="Q232" i="19"/>
  <c r="C232" i="19"/>
  <c r="F231" i="19"/>
  <c r="G231" i="19" s="1"/>
  <c r="E231" i="19"/>
  <c r="D231" i="19"/>
  <c r="B231" i="19"/>
  <c r="AF267" i="19" s="1"/>
  <c r="D230" i="19"/>
  <c r="E230" i="19" s="1"/>
  <c r="F230" i="19" s="1"/>
  <c r="G230" i="19" s="1"/>
  <c r="H230" i="19" s="1"/>
  <c r="I230" i="19" s="1"/>
  <c r="J230" i="19" s="1"/>
  <c r="K230" i="19" s="1"/>
  <c r="L230" i="19" s="1"/>
  <c r="M230" i="19" s="1"/>
  <c r="N230" i="19" s="1"/>
  <c r="O230" i="19" s="1"/>
  <c r="P230" i="19" s="1"/>
  <c r="B230" i="19"/>
  <c r="D229" i="19"/>
  <c r="D232" i="19" s="1"/>
  <c r="B229" i="19"/>
  <c r="E228" i="19"/>
  <c r="F228" i="19" s="1"/>
  <c r="G228" i="19" s="1"/>
  <c r="H228" i="19" s="1"/>
  <c r="D228" i="19"/>
  <c r="B228" i="19"/>
  <c r="F227" i="19"/>
  <c r="G227" i="19" s="1"/>
  <c r="H227" i="19" s="1"/>
  <c r="I227" i="19" s="1"/>
  <c r="J227" i="19" s="1"/>
  <c r="K227" i="19" s="1"/>
  <c r="L227" i="19" s="1"/>
  <c r="M227" i="19" s="1"/>
  <c r="N227" i="19" s="1"/>
  <c r="O227" i="19" s="1"/>
  <c r="P227" i="19" s="1"/>
  <c r="E227" i="19"/>
  <c r="D227" i="19"/>
  <c r="B227" i="19"/>
  <c r="D226" i="19"/>
  <c r="E226" i="19" s="1"/>
  <c r="B226" i="19"/>
  <c r="B232" i="19" s="1"/>
  <c r="AG224" i="19"/>
  <c r="AF224" i="19"/>
  <c r="AE224" i="19"/>
  <c r="AD224" i="19"/>
  <c r="AC224" i="19"/>
  <c r="AB224" i="19"/>
  <c r="AA224" i="19"/>
  <c r="Z224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AI117" i="19"/>
  <c r="AH117" i="19"/>
  <c r="AI116" i="19"/>
  <c r="AH116" i="19"/>
  <c r="AI115" i="19"/>
  <c r="AH115" i="19"/>
  <c r="AI114" i="19"/>
  <c r="AH114" i="19"/>
  <c r="AI113" i="19"/>
  <c r="AH113" i="19"/>
  <c r="AI112" i="19"/>
  <c r="AH112" i="19"/>
  <c r="AI111" i="19"/>
  <c r="AH111" i="19"/>
  <c r="AI110" i="19"/>
  <c r="AH110" i="19"/>
  <c r="AI109" i="19"/>
  <c r="AH109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D108" i="19"/>
  <c r="C108" i="19"/>
  <c r="AI107" i="19"/>
  <c r="AH107" i="19"/>
  <c r="AI106" i="19"/>
  <c r="AH106" i="19"/>
  <c r="AI105" i="19"/>
  <c r="AH105" i="19"/>
  <c r="AI104" i="19"/>
  <c r="AH104" i="19"/>
  <c r="AI103" i="19"/>
  <c r="AH103" i="19"/>
  <c r="AI102" i="19"/>
  <c r="AH102" i="19"/>
  <c r="AI101" i="19"/>
  <c r="AH101" i="19"/>
  <c r="AI100" i="19"/>
  <c r="AH100" i="19"/>
  <c r="AI99" i="19"/>
  <c r="AH99" i="19"/>
  <c r="AI97" i="19"/>
  <c r="AH97" i="19"/>
  <c r="AI96" i="19"/>
  <c r="AH96" i="19"/>
  <c r="AI95" i="19"/>
  <c r="AH95" i="19"/>
  <c r="AI94" i="19"/>
  <c r="AH94" i="19"/>
  <c r="AI93" i="19"/>
  <c r="AH93" i="19"/>
  <c r="AI92" i="19"/>
  <c r="AH92" i="19"/>
  <c r="AI91" i="19"/>
  <c r="AH91" i="19"/>
  <c r="AI88" i="19"/>
  <c r="AH88" i="19"/>
  <c r="AI86" i="19"/>
  <c r="AH86" i="19"/>
  <c r="AG86" i="19"/>
  <c r="AG89" i="19" s="1"/>
  <c r="AI85" i="19"/>
  <c r="AH85" i="19"/>
  <c r="AI84" i="19"/>
  <c r="AH84" i="19"/>
  <c r="AI83" i="19"/>
  <c r="AH83" i="19"/>
  <c r="AN82" i="19"/>
  <c r="AG82" i="19"/>
  <c r="AF82" i="19"/>
  <c r="AF98" i="19" s="1"/>
  <c r="AE82" i="19"/>
  <c r="AE98" i="19" s="1"/>
  <c r="AD82" i="19"/>
  <c r="AD98" i="19" s="1"/>
  <c r="AC82" i="19"/>
  <c r="AC98" i="19" s="1"/>
  <c r="AB82" i="19"/>
  <c r="AB98" i="19" s="1"/>
  <c r="AA82" i="19"/>
  <c r="AA98" i="19" s="1"/>
  <c r="Z82" i="19"/>
  <c r="Z98" i="19" s="1"/>
  <c r="Y82" i="19"/>
  <c r="Y98" i="19" s="1"/>
  <c r="X82" i="19"/>
  <c r="X98" i="19" s="1"/>
  <c r="W82" i="19"/>
  <c r="W98" i="19" s="1"/>
  <c r="V82" i="19"/>
  <c r="V98" i="19" s="1"/>
  <c r="U82" i="19"/>
  <c r="U98" i="19" s="1"/>
  <c r="T82" i="19"/>
  <c r="T98" i="19" s="1"/>
  <c r="S82" i="19"/>
  <c r="S98" i="19" s="1"/>
  <c r="R82" i="19"/>
  <c r="R98" i="19" s="1"/>
  <c r="P82" i="19"/>
  <c r="P98" i="19" s="1"/>
  <c r="O82" i="19"/>
  <c r="O98" i="19" s="1"/>
  <c r="N82" i="19"/>
  <c r="N98" i="19" s="1"/>
  <c r="M82" i="19"/>
  <c r="L5" i="19" s="1"/>
  <c r="L82" i="19"/>
  <c r="L98" i="19" s="1"/>
  <c r="K82" i="19"/>
  <c r="K98" i="19" s="1"/>
  <c r="J82" i="19"/>
  <c r="I5" i="19" s="1"/>
  <c r="I82" i="19"/>
  <c r="I98" i="19" s="1"/>
  <c r="H82" i="19"/>
  <c r="H98" i="19" s="1"/>
  <c r="G82" i="19"/>
  <c r="G98" i="19" s="1"/>
  <c r="F82" i="19"/>
  <c r="F98" i="19" s="1"/>
  <c r="E82" i="19"/>
  <c r="E98" i="19" s="1"/>
  <c r="D82" i="19"/>
  <c r="D98" i="19" s="1"/>
  <c r="C82" i="19"/>
  <c r="AI81" i="19"/>
  <c r="AH81" i="19"/>
  <c r="AN80" i="19"/>
  <c r="AI80" i="19"/>
  <c r="AH80" i="19"/>
  <c r="AN79" i="19"/>
  <c r="AN81" i="19" s="1"/>
  <c r="AI79" i="19"/>
  <c r="AH79" i="19"/>
  <c r="AI78" i="19"/>
  <c r="AH78" i="19"/>
  <c r="AI77" i="19"/>
  <c r="AH77" i="19"/>
  <c r="AI76" i="19"/>
  <c r="AH76" i="19"/>
  <c r="AI75" i="19"/>
  <c r="AH75" i="19"/>
  <c r="AI74" i="19"/>
  <c r="AH74" i="19"/>
  <c r="AI73" i="19"/>
  <c r="AH73" i="19"/>
  <c r="AI72" i="19"/>
  <c r="AH72" i="19"/>
  <c r="AI71" i="19"/>
  <c r="AH71" i="19"/>
  <c r="AG70" i="19"/>
  <c r="AG4" i="19" s="1"/>
  <c r="AF70" i="19"/>
  <c r="AE70" i="19"/>
  <c r="AD70" i="19"/>
  <c r="AC70" i="19"/>
  <c r="AB70" i="19"/>
  <c r="AA70" i="19"/>
  <c r="Z70" i="19"/>
  <c r="Y70" i="19"/>
  <c r="X70" i="19"/>
  <c r="W70" i="19"/>
  <c r="V70" i="19"/>
  <c r="U70" i="19"/>
  <c r="T70" i="19"/>
  <c r="S70" i="19"/>
  <c r="R70" i="19"/>
  <c r="P70" i="19"/>
  <c r="M70" i="19"/>
  <c r="AI69" i="19"/>
  <c r="AH69" i="19"/>
  <c r="AI68" i="19"/>
  <c r="AH68" i="19"/>
  <c r="AI67" i="19"/>
  <c r="AH67" i="19"/>
  <c r="AF66" i="19"/>
  <c r="AE66" i="19"/>
  <c r="AD66" i="19"/>
  <c r="AC66" i="19"/>
  <c r="AB66" i="19"/>
  <c r="AA66" i="19"/>
  <c r="Z66" i="19"/>
  <c r="Y66" i="19"/>
  <c r="X66" i="19"/>
  <c r="W66" i="19"/>
  <c r="V66" i="19"/>
  <c r="U66" i="19"/>
  <c r="T66" i="19"/>
  <c r="S66" i="19"/>
  <c r="R66" i="19"/>
  <c r="P66" i="19"/>
  <c r="M66" i="19"/>
  <c r="L66" i="19"/>
  <c r="K66" i="19"/>
  <c r="J66" i="19"/>
  <c r="I66" i="19"/>
  <c r="H66" i="19"/>
  <c r="G66" i="19"/>
  <c r="F66" i="19"/>
  <c r="E66" i="19"/>
  <c r="D66" i="19"/>
  <c r="C66" i="19"/>
  <c r="AI65" i="19"/>
  <c r="AH65" i="19"/>
  <c r="AI64" i="19"/>
  <c r="AH64" i="19"/>
  <c r="AI63" i="19"/>
  <c r="AH63" i="19"/>
  <c r="AI62" i="19"/>
  <c r="AH62" i="19"/>
  <c r="AI61" i="19"/>
  <c r="AH61" i="19"/>
  <c r="AI60" i="19"/>
  <c r="AH60" i="19"/>
  <c r="AI59" i="19"/>
  <c r="AH59" i="19"/>
  <c r="AI58" i="19"/>
  <c r="AH58" i="19"/>
  <c r="AI57" i="19"/>
  <c r="AH57" i="19"/>
  <c r="AI56" i="19"/>
  <c r="AH56" i="19"/>
  <c r="AI55" i="19"/>
  <c r="AH55" i="19"/>
  <c r="AI54" i="19"/>
  <c r="AH54" i="19"/>
  <c r="AI53" i="19"/>
  <c r="AH53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P52" i="19"/>
  <c r="M52" i="19"/>
  <c r="L52" i="19"/>
  <c r="K52" i="19"/>
  <c r="J52" i="19"/>
  <c r="I52" i="19"/>
  <c r="H52" i="19"/>
  <c r="G52" i="19"/>
  <c r="F52" i="19"/>
  <c r="E52" i="19"/>
  <c r="D52" i="19"/>
  <c r="C52" i="19"/>
  <c r="AI51" i="19"/>
  <c r="AH51" i="19"/>
  <c r="AI50" i="19"/>
  <c r="AH50" i="19"/>
  <c r="AI49" i="19"/>
  <c r="AH49" i="19"/>
  <c r="AG48" i="19"/>
  <c r="AF48" i="19"/>
  <c r="AE48" i="19"/>
  <c r="AD48" i="19"/>
  <c r="AC48" i="19"/>
  <c r="AC87" i="19" s="1"/>
  <c r="AC89" i="19" s="1"/>
  <c r="AB48" i="19"/>
  <c r="AA48" i="19"/>
  <c r="Z48" i="19"/>
  <c r="Y48" i="19"/>
  <c r="W48" i="19"/>
  <c r="V48" i="19"/>
  <c r="U48" i="19"/>
  <c r="T48" i="19"/>
  <c r="S48" i="19"/>
  <c r="R48" i="19"/>
  <c r="R87" i="19" s="1"/>
  <c r="P48" i="19"/>
  <c r="N87" i="19"/>
  <c r="N89" i="19" s="1"/>
  <c r="L48" i="19"/>
  <c r="K48" i="19"/>
  <c r="J48" i="19"/>
  <c r="I48" i="19"/>
  <c r="H48" i="19"/>
  <c r="G48" i="19"/>
  <c r="F48" i="19"/>
  <c r="E48" i="19"/>
  <c r="D48" i="19"/>
  <c r="C48" i="19"/>
  <c r="AI47" i="19"/>
  <c r="AH47" i="19"/>
  <c r="AI46" i="19"/>
  <c r="AH46" i="19"/>
  <c r="AI45" i="19"/>
  <c r="AH45" i="19"/>
  <c r="AI44" i="19"/>
  <c r="AH44" i="19"/>
  <c r="AI43" i="19"/>
  <c r="AH43" i="19"/>
  <c r="AI42" i="19"/>
  <c r="AH42" i="19"/>
  <c r="AI41" i="19"/>
  <c r="AH41" i="19"/>
  <c r="AI40" i="19"/>
  <c r="AH40" i="19"/>
  <c r="AI39" i="19"/>
  <c r="AH39" i="19"/>
  <c r="AI38" i="19"/>
  <c r="AH38" i="19"/>
  <c r="AI37" i="19"/>
  <c r="AH37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I23" i="19"/>
  <c r="AH23" i="19"/>
  <c r="AI22" i="19"/>
  <c r="AH22" i="19"/>
  <c r="AI21" i="19"/>
  <c r="AH21" i="19"/>
  <c r="AI20" i="19"/>
  <c r="AH20" i="19"/>
  <c r="AI19" i="19"/>
  <c r="AH19" i="19"/>
  <c r="AI18" i="19"/>
  <c r="AH18" i="19"/>
  <c r="AI17" i="19"/>
  <c r="AH17" i="19"/>
  <c r="AI16" i="19"/>
  <c r="AH16" i="19"/>
  <c r="AI15" i="19"/>
  <c r="AH15" i="19"/>
  <c r="AI14" i="19"/>
  <c r="AH14" i="19"/>
  <c r="AI13" i="19"/>
  <c r="AH13" i="19"/>
  <c r="AI12" i="19"/>
  <c r="AH12" i="19"/>
  <c r="AI11" i="19"/>
  <c r="AH11" i="19"/>
  <c r="AA5" i="19"/>
  <c r="Y5" i="19"/>
  <c r="W5" i="19"/>
  <c r="P5" i="19"/>
  <c r="O5" i="19"/>
  <c r="K4" i="19"/>
  <c r="E4" i="19"/>
  <c r="H4" i="19" s="1"/>
  <c r="B4" i="19"/>
  <c r="S243" i="19" s="1"/>
  <c r="AG2" i="19"/>
  <c r="AG6" i="19" s="1"/>
  <c r="AA108" i="18"/>
  <c r="Z108" i="18"/>
  <c r="AA98" i="18"/>
  <c r="Z98" i="18"/>
  <c r="AA90" i="18"/>
  <c r="Z90" i="18"/>
  <c r="AA89" i="18"/>
  <c r="Z89" i="18"/>
  <c r="AA87" i="18"/>
  <c r="Z87" i="18"/>
  <c r="AA82" i="18"/>
  <c r="Z82" i="18"/>
  <c r="AA66" i="18"/>
  <c r="Z66" i="18"/>
  <c r="AA7" i="18"/>
  <c r="Z7" i="18"/>
  <c r="AA111" i="18"/>
  <c r="Y111" i="18"/>
  <c r="W111" i="18"/>
  <c r="X48" i="18"/>
  <c r="X52" i="18"/>
  <c r="X66" i="18"/>
  <c r="X70" i="18"/>
  <c r="X82" i="18"/>
  <c r="X98" i="18" s="1"/>
  <c r="X108" i="18"/>
  <c r="X111" i="18"/>
  <c r="W70" i="18"/>
  <c r="W48" i="18"/>
  <c r="U111" i="18"/>
  <c r="V111" i="18"/>
  <c r="U48" i="18"/>
  <c r="V48" i="18"/>
  <c r="U52" i="18"/>
  <c r="V52" i="18"/>
  <c r="U66" i="18"/>
  <c r="V66" i="18"/>
  <c r="U70" i="18"/>
  <c r="V70" i="18"/>
  <c r="U82" i="18"/>
  <c r="U98" i="18" s="1"/>
  <c r="V82" i="18"/>
  <c r="V98" i="18" s="1"/>
  <c r="T111" i="18"/>
  <c r="S111" i="18"/>
  <c r="S48" i="18"/>
  <c r="S52" i="18"/>
  <c r="S66" i="18"/>
  <c r="AE5" i="19" l="1"/>
  <c r="AF87" i="19"/>
  <c r="AF89" i="19" s="1"/>
  <c r="AF7" i="19" s="1"/>
  <c r="AD5" i="19"/>
  <c r="AE87" i="19"/>
  <c r="AE89" i="19" s="1"/>
  <c r="AB5" i="19"/>
  <c r="AC5" i="19"/>
  <c r="AD87" i="19"/>
  <c r="AD89" i="19" s="1"/>
  <c r="AB87" i="19"/>
  <c r="AB89" i="19" s="1"/>
  <c r="Z87" i="19"/>
  <c r="Z89" i="19" s="1"/>
  <c r="Z7" i="19" s="1"/>
  <c r="AA87" i="19"/>
  <c r="AA89" i="19" s="1"/>
  <c r="X5" i="19"/>
  <c r="Y87" i="19"/>
  <c r="Y89" i="19" s="1"/>
  <c r="Y7" i="19" s="1"/>
  <c r="X87" i="19"/>
  <c r="X89" i="19" s="1"/>
  <c r="X90" i="19" s="1"/>
  <c r="V5" i="19"/>
  <c r="W87" i="19"/>
  <c r="W89" i="19" s="1"/>
  <c r="U5" i="19"/>
  <c r="V87" i="19"/>
  <c r="V89" i="19" s="1"/>
  <c r="AN246" i="19" s="1"/>
  <c r="T5" i="19"/>
  <c r="U7" i="19"/>
  <c r="S5" i="19"/>
  <c r="AK246" i="19"/>
  <c r="AL246" i="19"/>
  <c r="Q5" i="19"/>
  <c r="R89" i="19"/>
  <c r="R7" i="19" s="1"/>
  <c r="P87" i="19"/>
  <c r="P89" i="19" s="1"/>
  <c r="O87" i="19"/>
  <c r="O89" i="19" s="1"/>
  <c r="M5" i="19"/>
  <c r="N5" i="19"/>
  <c r="M87" i="19"/>
  <c r="M89" i="19" s="1"/>
  <c r="M7" i="19" s="1"/>
  <c r="M98" i="19"/>
  <c r="L87" i="19"/>
  <c r="L89" i="19" s="1"/>
  <c r="K5" i="19"/>
  <c r="K87" i="19"/>
  <c r="K89" i="19" s="1"/>
  <c r="J98" i="19"/>
  <c r="H5" i="19"/>
  <c r="I87" i="19"/>
  <c r="I89" i="19" s="1"/>
  <c r="I90" i="19" s="1"/>
  <c r="G5" i="19"/>
  <c r="AI70" i="19"/>
  <c r="H87" i="19"/>
  <c r="H89" i="19" s="1"/>
  <c r="H90" i="19" s="1"/>
  <c r="F5" i="19"/>
  <c r="G87" i="19"/>
  <c r="G89" i="19" s="1"/>
  <c r="G7" i="19" s="1"/>
  <c r="J87" i="19"/>
  <c r="J89" i="19" s="1"/>
  <c r="J7" i="19" s="1"/>
  <c r="E5" i="19"/>
  <c r="F87" i="19"/>
  <c r="F89" i="19" s="1"/>
  <c r="F7" i="19" s="1"/>
  <c r="AH52" i="19"/>
  <c r="E87" i="19"/>
  <c r="E89" i="19" s="1"/>
  <c r="E7" i="19" s="1"/>
  <c r="D5" i="19"/>
  <c r="C5" i="19"/>
  <c r="D87" i="19"/>
  <c r="D89" i="19" s="1"/>
  <c r="D90" i="19" s="1"/>
  <c r="AI66" i="19"/>
  <c r="C87" i="19"/>
  <c r="C89" i="19" s="1"/>
  <c r="U246" i="19" s="1"/>
  <c r="AF5" i="19"/>
  <c r="B87" i="19"/>
  <c r="B89" i="19" s="1"/>
  <c r="B90" i="19" s="1"/>
  <c r="AH82" i="19"/>
  <c r="AI82" i="19"/>
  <c r="C90" i="19"/>
  <c r="C7" i="19"/>
  <c r="H231" i="19"/>
  <c r="F267" i="19"/>
  <c r="AB90" i="19"/>
  <c r="AT246" i="19"/>
  <c r="AB7" i="19"/>
  <c r="W246" i="19"/>
  <c r="E90" i="19"/>
  <c r="AC7" i="19"/>
  <c r="AU246" i="19"/>
  <c r="AC90" i="19"/>
  <c r="F226" i="19"/>
  <c r="E108" i="19"/>
  <c r="X246" i="19"/>
  <c r="F90" i="19"/>
  <c r="N7" i="19"/>
  <c r="AF246" i="19"/>
  <c r="N90" i="19"/>
  <c r="AD7" i="19"/>
  <c r="AV246" i="19"/>
  <c r="AD90" i="19"/>
  <c r="AA90" i="19"/>
  <c r="AS246" i="19"/>
  <c r="AA7" i="19"/>
  <c r="AF90" i="19"/>
  <c r="AX246" i="19"/>
  <c r="Y246" i="19"/>
  <c r="K90" i="19"/>
  <c r="AC246" i="19"/>
  <c r="K7" i="19"/>
  <c r="Q7" i="19"/>
  <c r="AI246" i="19"/>
  <c r="AG87" i="19"/>
  <c r="AG246" i="19"/>
  <c r="O90" i="19"/>
  <c r="O7" i="19"/>
  <c r="S90" i="19"/>
  <c r="AW246" i="19"/>
  <c r="AE90" i="19"/>
  <c r="AE7" i="19"/>
  <c r="L90" i="19"/>
  <c r="AD246" i="19"/>
  <c r="L7" i="19"/>
  <c r="P90" i="19"/>
  <c r="P7" i="19"/>
  <c r="AH246" i="19"/>
  <c r="Z90" i="19"/>
  <c r="AO246" i="19"/>
  <c r="W90" i="19"/>
  <c r="W7" i="19"/>
  <c r="AH70" i="19"/>
  <c r="D243" i="19"/>
  <c r="AH48" i="19"/>
  <c r="B5" i="19"/>
  <c r="J5" i="19"/>
  <c r="R5" i="19"/>
  <c r="Z5" i="19"/>
  <c r="AH66" i="19"/>
  <c r="AI48" i="19"/>
  <c r="AI52" i="19"/>
  <c r="C98" i="19"/>
  <c r="AH98" i="19" s="1"/>
  <c r="E229" i="19"/>
  <c r="F229" i="19" s="1"/>
  <c r="G229" i="19" s="1"/>
  <c r="H229" i="19" s="1"/>
  <c r="I229" i="19" s="1"/>
  <c r="X87" i="18"/>
  <c r="X89" i="18" s="1"/>
  <c r="X90" i="18" s="1"/>
  <c r="U87" i="18"/>
  <c r="U89" i="18" s="1"/>
  <c r="U90" i="18" s="1"/>
  <c r="V87" i="18"/>
  <c r="V89" i="18" s="1"/>
  <c r="V90" i="18" s="1"/>
  <c r="R90" i="19" l="1"/>
  <c r="AJ246" i="19"/>
  <c r="AR246" i="19"/>
  <c r="Y90" i="19"/>
  <c r="AQ246" i="19"/>
  <c r="AP246" i="19"/>
  <c r="X7" i="19"/>
  <c r="V7" i="19"/>
  <c r="V90" i="19"/>
  <c r="U90" i="19"/>
  <c r="AM246" i="19"/>
  <c r="T90" i="19"/>
  <c r="S7" i="19"/>
  <c r="T7" i="19"/>
  <c r="M90" i="19"/>
  <c r="AE246" i="19"/>
  <c r="AA246" i="19"/>
  <c r="I7" i="19"/>
  <c r="J90" i="19"/>
  <c r="AB246" i="19"/>
  <c r="C241" i="19"/>
  <c r="Z246" i="19"/>
  <c r="H7" i="19"/>
  <c r="G90" i="19"/>
  <c r="B241" i="19"/>
  <c r="V246" i="19"/>
  <c r="AI87" i="19"/>
  <c r="D7" i="19"/>
  <c r="AH87" i="19"/>
  <c r="AI98" i="19"/>
  <c r="J229" i="19"/>
  <c r="K229" i="19" s="1"/>
  <c r="L229" i="19" s="1"/>
  <c r="M229" i="19" s="1"/>
  <c r="N229" i="19" s="1"/>
  <c r="O229" i="19" s="1"/>
  <c r="P229" i="19" s="1"/>
  <c r="G267" i="19"/>
  <c r="I231" i="19"/>
  <c r="E232" i="19"/>
  <c r="AH89" i="19"/>
  <c r="B7" i="19"/>
  <c r="T246" i="19"/>
  <c r="AI89" i="19"/>
  <c r="G226" i="19"/>
  <c r="F108" i="19"/>
  <c r="F232" i="19"/>
  <c r="A7" i="19" l="1"/>
  <c r="K6" i="19"/>
  <c r="AH90" i="19"/>
  <c r="AI90" i="19"/>
  <c r="H267" i="19"/>
  <c r="J231" i="19"/>
  <c r="H226" i="19"/>
  <c r="G108" i="19"/>
  <c r="G232" i="19"/>
  <c r="I226" i="19" l="1"/>
  <c r="H108" i="19"/>
  <c r="H232" i="19"/>
  <c r="K231" i="19"/>
  <c r="I267" i="19"/>
  <c r="J267" i="19" l="1"/>
  <c r="L231" i="19"/>
  <c r="I108" i="19"/>
  <c r="J226" i="19"/>
  <c r="J108" i="19" l="1"/>
  <c r="K226" i="19"/>
  <c r="K267" i="19"/>
  <c r="M231" i="19"/>
  <c r="L267" i="19" l="1"/>
  <c r="N231" i="19"/>
  <c r="L226" i="19"/>
  <c r="K108" i="19"/>
  <c r="M267" i="19" l="1"/>
  <c r="O231" i="19"/>
  <c r="M226" i="19"/>
  <c r="L108" i="19"/>
  <c r="N226" i="19" l="1"/>
  <c r="M108" i="19"/>
  <c r="P231" i="19"/>
  <c r="O267" i="19" s="1"/>
  <c r="N267" i="19"/>
  <c r="O226" i="19" l="1"/>
  <c r="P226" i="19" l="1"/>
  <c r="AI108" i="19" l="1"/>
  <c r="AH108" i="19"/>
  <c r="C70" i="17" l="1"/>
  <c r="D70" i="17"/>
  <c r="E70" i="17"/>
  <c r="F70" i="17"/>
  <c r="G70" i="17"/>
  <c r="H70" i="17"/>
  <c r="I70" i="17"/>
  <c r="J70" i="17"/>
  <c r="K70" i="17"/>
  <c r="B70" i="16"/>
  <c r="C70" i="16"/>
  <c r="D70" i="16"/>
  <c r="E70" i="16"/>
  <c r="F70" i="16"/>
  <c r="G70" i="16"/>
  <c r="H70" i="16"/>
  <c r="I70" i="16"/>
  <c r="J70" i="16"/>
  <c r="K70" i="16"/>
  <c r="L70" i="16"/>
  <c r="B66" i="16"/>
  <c r="B52" i="16"/>
  <c r="B48" i="16"/>
  <c r="B108" i="16"/>
  <c r="B98" i="16"/>
  <c r="B87" i="16"/>
  <c r="B89" i="16" s="1"/>
  <c r="B90" i="16" s="1"/>
  <c r="B82" i="16"/>
  <c r="Q111" i="18"/>
  <c r="P111" i="18"/>
  <c r="P48" i="18"/>
  <c r="P52" i="18"/>
  <c r="P66" i="18"/>
  <c r="P70" i="18"/>
  <c r="O111" i="18"/>
  <c r="N111" i="18"/>
  <c r="M111" i="18"/>
  <c r="E70" i="18" l="1"/>
  <c r="F70" i="18"/>
  <c r="G70" i="18"/>
  <c r="H70" i="18"/>
  <c r="I70" i="18"/>
  <c r="J70" i="18"/>
  <c r="K70" i="18"/>
  <c r="L70" i="18"/>
  <c r="C70" i="18"/>
  <c r="D70" i="18"/>
  <c r="AF82" i="17"/>
  <c r="AF271" i="18"/>
  <c r="AE271" i="18"/>
  <c r="AD271" i="18"/>
  <c r="AC271" i="18"/>
  <c r="AB271" i="18"/>
  <c r="AA271" i="18"/>
  <c r="Z271" i="18"/>
  <c r="Y271" i="18"/>
  <c r="X271" i="18"/>
  <c r="W271" i="18"/>
  <c r="V271" i="18"/>
  <c r="U271" i="18"/>
  <c r="T271" i="18"/>
  <c r="S271" i="18"/>
  <c r="R271" i="18"/>
  <c r="Q271" i="18"/>
  <c r="P271" i="18"/>
  <c r="O271" i="18"/>
  <c r="N271" i="18"/>
  <c r="M271" i="18"/>
  <c r="L271" i="18"/>
  <c r="K271" i="18"/>
  <c r="J271" i="18"/>
  <c r="I271" i="18"/>
  <c r="H271" i="18"/>
  <c r="G271" i="18"/>
  <c r="F271" i="18"/>
  <c r="E271" i="18"/>
  <c r="D271" i="18"/>
  <c r="C271" i="18"/>
  <c r="B271" i="18"/>
  <c r="A271" i="18"/>
  <c r="AF270" i="18"/>
  <c r="AE270" i="18"/>
  <c r="AD270" i="18"/>
  <c r="AC270" i="18"/>
  <c r="AB270" i="18"/>
  <c r="AA270" i="18"/>
  <c r="Z270" i="18"/>
  <c r="Y270" i="18"/>
  <c r="X270" i="18"/>
  <c r="W270" i="18"/>
  <c r="V270" i="18"/>
  <c r="U270" i="18"/>
  <c r="T270" i="18"/>
  <c r="S270" i="18"/>
  <c r="R270" i="18"/>
  <c r="Q270" i="18"/>
  <c r="P270" i="18"/>
  <c r="O270" i="18"/>
  <c r="N270" i="18"/>
  <c r="M270" i="18"/>
  <c r="L270" i="18"/>
  <c r="K270" i="18"/>
  <c r="J270" i="18"/>
  <c r="I270" i="18"/>
  <c r="H270" i="18"/>
  <c r="G270" i="18"/>
  <c r="F270" i="18"/>
  <c r="E270" i="18"/>
  <c r="D270" i="18"/>
  <c r="C270" i="18"/>
  <c r="B270" i="18"/>
  <c r="A270" i="18"/>
  <c r="AF269" i="18"/>
  <c r="AE269" i="18"/>
  <c r="AD269" i="18"/>
  <c r="AC269" i="18"/>
  <c r="AB269" i="18"/>
  <c r="AA269" i="18"/>
  <c r="Z269" i="18"/>
  <c r="Y269" i="18"/>
  <c r="X269" i="18"/>
  <c r="W269" i="18"/>
  <c r="V269" i="18"/>
  <c r="U269" i="18"/>
  <c r="T269" i="18"/>
  <c r="S269" i="18"/>
  <c r="R269" i="18"/>
  <c r="Q269" i="18"/>
  <c r="P269" i="18"/>
  <c r="O269" i="18"/>
  <c r="N269" i="18"/>
  <c r="M269" i="18"/>
  <c r="L269" i="18"/>
  <c r="K269" i="18"/>
  <c r="J269" i="18"/>
  <c r="I269" i="18"/>
  <c r="H269" i="18"/>
  <c r="G269" i="18"/>
  <c r="F269" i="18"/>
  <c r="E269" i="18"/>
  <c r="D269" i="18"/>
  <c r="C269" i="18"/>
  <c r="B269" i="18"/>
  <c r="A269" i="18"/>
  <c r="AF268" i="18"/>
  <c r="AE268" i="18"/>
  <c r="AD268" i="18"/>
  <c r="AC268" i="18"/>
  <c r="AB268" i="18"/>
  <c r="AA268" i="18"/>
  <c r="Z268" i="18"/>
  <c r="Y268" i="18"/>
  <c r="X268" i="18"/>
  <c r="W268" i="18"/>
  <c r="V268" i="18"/>
  <c r="U268" i="18"/>
  <c r="T268" i="18"/>
  <c r="S268" i="18"/>
  <c r="R268" i="18"/>
  <c r="Q268" i="18"/>
  <c r="P268" i="18"/>
  <c r="O268" i="18"/>
  <c r="N268" i="18"/>
  <c r="M268" i="18"/>
  <c r="L268" i="18"/>
  <c r="K268" i="18"/>
  <c r="J268" i="18"/>
  <c r="I268" i="18"/>
  <c r="H268" i="18"/>
  <c r="G268" i="18"/>
  <c r="F268" i="18"/>
  <c r="E268" i="18"/>
  <c r="D268" i="18"/>
  <c r="C268" i="18"/>
  <c r="B268" i="18"/>
  <c r="A268" i="18"/>
  <c r="AE267" i="18"/>
  <c r="AD267" i="18"/>
  <c r="AC267" i="18"/>
  <c r="AB267" i="18"/>
  <c r="AA267" i="18"/>
  <c r="Z267" i="18"/>
  <c r="Y267" i="18"/>
  <c r="X267" i="18"/>
  <c r="W267" i="18"/>
  <c r="V267" i="18"/>
  <c r="U267" i="18"/>
  <c r="T267" i="18"/>
  <c r="S267" i="18"/>
  <c r="R267" i="18"/>
  <c r="Q267" i="18"/>
  <c r="P267" i="18"/>
  <c r="E267" i="18"/>
  <c r="D267" i="18"/>
  <c r="C267" i="18"/>
  <c r="B267" i="18"/>
  <c r="S242" i="18"/>
  <c r="AG232" i="18"/>
  <c r="AG65" i="18" s="1"/>
  <c r="AG66" i="18" s="1"/>
  <c r="AG3" i="18" s="1"/>
  <c r="AF232" i="18"/>
  <c r="AE232" i="18"/>
  <c r="AD232" i="18"/>
  <c r="AC232" i="18"/>
  <c r="AB232" i="18"/>
  <c r="AA232" i="18"/>
  <c r="Z232" i="18"/>
  <c r="Y232" i="18"/>
  <c r="X232" i="18"/>
  <c r="W232" i="18"/>
  <c r="V232" i="18"/>
  <c r="U232" i="18"/>
  <c r="T232" i="18"/>
  <c r="S232" i="18"/>
  <c r="R232" i="18"/>
  <c r="Q232" i="18"/>
  <c r="C232" i="18"/>
  <c r="H231" i="18"/>
  <c r="G267" i="18" s="1"/>
  <c r="G231" i="18"/>
  <c r="F267" i="18" s="1"/>
  <c r="F231" i="18"/>
  <c r="E231" i="18"/>
  <c r="D231" i="18"/>
  <c r="B231" i="18"/>
  <c r="AF267" i="18" s="1"/>
  <c r="F230" i="18"/>
  <c r="G230" i="18" s="1"/>
  <c r="H230" i="18" s="1"/>
  <c r="I230" i="18" s="1"/>
  <c r="J230" i="18" s="1"/>
  <c r="K230" i="18" s="1"/>
  <c r="L230" i="18" s="1"/>
  <c r="M230" i="18" s="1"/>
  <c r="N230" i="18" s="1"/>
  <c r="O230" i="18" s="1"/>
  <c r="P230" i="18" s="1"/>
  <c r="E230" i="18"/>
  <c r="D230" i="18"/>
  <c r="B230" i="18"/>
  <c r="D229" i="18"/>
  <c r="E229" i="18" s="1"/>
  <c r="F229" i="18" s="1"/>
  <c r="G229" i="18" s="1"/>
  <c r="H229" i="18" s="1"/>
  <c r="I229" i="18" s="1"/>
  <c r="B229" i="18"/>
  <c r="H228" i="18"/>
  <c r="G228" i="18"/>
  <c r="F228" i="18"/>
  <c r="E228" i="18"/>
  <c r="D228" i="18"/>
  <c r="B228" i="18"/>
  <c r="B232" i="18" s="1"/>
  <c r="H227" i="18"/>
  <c r="I227" i="18" s="1"/>
  <c r="J227" i="18" s="1"/>
  <c r="K227" i="18" s="1"/>
  <c r="L227" i="18" s="1"/>
  <c r="M227" i="18" s="1"/>
  <c r="N227" i="18" s="1"/>
  <c r="O227" i="18" s="1"/>
  <c r="P227" i="18" s="1"/>
  <c r="G227" i="18"/>
  <c r="F227" i="18"/>
  <c r="E227" i="18"/>
  <c r="D227" i="18"/>
  <c r="B227" i="18"/>
  <c r="F226" i="18"/>
  <c r="G226" i="18" s="1"/>
  <c r="E226" i="18"/>
  <c r="E108" i="18" s="1"/>
  <c r="D226" i="18"/>
  <c r="D232" i="18" s="1"/>
  <c r="B226" i="18"/>
  <c r="B108" i="18" s="1"/>
  <c r="AG224" i="18"/>
  <c r="AF224" i="18"/>
  <c r="AE224" i="18"/>
  <c r="AD224" i="18"/>
  <c r="AC224" i="18"/>
  <c r="AB224" i="18"/>
  <c r="AA224" i="18"/>
  <c r="Z224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AI117" i="18"/>
  <c r="AH117" i="18"/>
  <c r="AI116" i="18"/>
  <c r="AH116" i="18"/>
  <c r="AI115" i="18"/>
  <c r="AH115" i="18"/>
  <c r="AI114" i="18"/>
  <c r="AH114" i="18"/>
  <c r="AI113" i="18"/>
  <c r="AH113" i="18"/>
  <c r="AI112" i="18"/>
  <c r="AH112" i="18"/>
  <c r="AI111" i="18"/>
  <c r="AH111" i="18"/>
  <c r="AI109" i="18"/>
  <c r="AH109" i="18"/>
  <c r="AF108" i="18"/>
  <c r="AE108" i="18"/>
  <c r="AD108" i="18"/>
  <c r="AC108" i="18"/>
  <c r="AB108" i="18"/>
  <c r="Y108" i="18"/>
  <c r="W108" i="18"/>
  <c r="V108" i="18"/>
  <c r="U108" i="18"/>
  <c r="T108" i="18"/>
  <c r="S108" i="18"/>
  <c r="R108" i="18"/>
  <c r="Q108" i="18"/>
  <c r="D108" i="18"/>
  <c r="C108" i="18"/>
  <c r="AI107" i="18"/>
  <c r="AH107" i="18"/>
  <c r="AI106" i="18"/>
  <c r="AH106" i="18"/>
  <c r="AI105" i="18"/>
  <c r="AH105" i="18"/>
  <c r="AI104" i="18"/>
  <c r="AH104" i="18"/>
  <c r="AI103" i="18"/>
  <c r="AH103" i="18"/>
  <c r="AI102" i="18"/>
  <c r="AH102" i="18"/>
  <c r="AI101" i="18"/>
  <c r="AH101" i="18"/>
  <c r="AI100" i="18"/>
  <c r="AH100" i="18"/>
  <c r="AI99" i="18"/>
  <c r="AH99" i="18"/>
  <c r="M98" i="18"/>
  <c r="AI97" i="18"/>
  <c r="AH97" i="18"/>
  <c r="AI96" i="18"/>
  <c r="AH96" i="18"/>
  <c r="AI95" i="18"/>
  <c r="AH95" i="18"/>
  <c r="AI94" i="18"/>
  <c r="AH94" i="18"/>
  <c r="AI93" i="18"/>
  <c r="AH93" i="18"/>
  <c r="AI92" i="18"/>
  <c r="AH92" i="18"/>
  <c r="AI91" i="18"/>
  <c r="AH91" i="18"/>
  <c r="AI88" i="18"/>
  <c r="AH88" i="18"/>
  <c r="AI86" i="18"/>
  <c r="AH86" i="18"/>
  <c r="AG86" i="18"/>
  <c r="AI85" i="18"/>
  <c r="AH85" i="18"/>
  <c r="AI84" i="18"/>
  <c r="AH84" i="18"/>
  <c r="AI83" i="18"/>
  <c r="AH83" i="18"/>
  <c r="AN82" i="18"/>
  <c r="AG82" i="18"/>
  <c r="AF82" i="18"/>
  <c r="AE5" i="18" s="1"/>
  <c r="AE82" i="18"/>
  <c r="AE98" i="18" s="1"/>
  <c r="AD82" i="18"/>
  <c r="AD98" i="18" s="1"/>
  <c r="AC82" i="18"/>
  <c r="AC98" i="18" s="1"/>
  <c r="AB82" i="18"/>
  <c r="AB98" i="18" s="1"/>
  <c r="Y5" i="18"/>
  <c r="Y82" i="18"/>
  <c r="X5" i="18" s="1"/>
  <c r="W5" i="18"/>
  <c r="W82" i="18"/>
  <c r="W98" i="18" s="1"/>
  <c r="T82" i="18"/>
  <c r="T98" i="18" s="1"/>
  <c r="S82" i="18"/>
  <c r="S98" i="18" s="1"/>
  <c r="R82" i="18"/>
  <c r="Q5" i="18" s="1"/>
  <c r="Q82" i="18"/>
  <c r="P5" i="18" s="1"/>
  <c r="P82" i="18"/>
  <c r="O5" i="18" s="1"/>
  <c r="O82" i="18"/>
  <c r="N5" i="18" s="1"/>
  <c r="N82" i="18"/>
  <c r="M5" i="18" s="1"/>
  <c r="M82" i="18"/>
  <c r="L5" i="18" s="1"/>
  <c r="L82" i="18"/>
  <c r="L98" i="18" s="1"/>
  <c r="K82" i="18"/>
  <c r="K98" i="18" s="1"/>
  <c r="J82" i="18"/>
  <c r="I5" i="18" s="1"/>
  <c r="I82" i="18"/>
  <c r="H5" i="18" s="1"/>
  <c r="H82" i="18"/>
  <c r="G5" i="18" s="1"/>
  <c r="G82" i="18"/>
  <c r="G98" i="18" s="1"/>
  <c r="F82" i="18"/>
  <c r="F98" i="18" s="1"/>
  <c r="E82" i="18"/>
  <c r="E98" i="18" s="1"/>
  <c r="D82" i="18"/>
  <c r="D98" i="18" s="1"/>
  <c r="C82" i="18"/>
  <c r="C98" i="18" s="1"/>
  <c r="B82" i="18"/>
  <c r="AF5" i="18" s="1"/>
  <c r="AI81" i="18"/>
  <c r="AH81" i="18"/>
  <c r="AN80" i="18"/>
  <c r="AI80" i="18"/>
  <c r="AH80" i="18"/>
  <c r="AN79" i="18"/>
  <c r="AN81" i="18" s="1"/>
  <c r="AI79" i="18"/>
  <c r="AH79" i="18"/>
  <c r="AI78" i="18"/>
  <c r="AH78" i="18"/>
  <c r="AI77" i="18"/>
  <c r="AH77" i="18"/>
  <c r="AI76" i="18"/>
  <c r="AH76" i="18"/>
  <c r="AI75" i="18"/>
  <c r="AH75" i="18"/>
  <c r="AI74" i="18"/>
  <c r="AH74" i="18"/>
  <c r="AI73" i="18"/>
  <c r="AH73" i="18"/>
  <c r="AI72" i="18"/>
  <c r="AH72" i="18"/>
  <c r="AI71" i="18"/>
  <c r="AH71" i="18"/>
  <c r="AG70" i="18"/>
  <c r="AF70" i="18"/>
  <c r="AE70" i="18"/>
  <c r="AD70" i="18"/>
  <c r="AC70" i="18"/>
  <c r="AB70" i="18"/>
  <c r="Y70" i="18"/>
  <c r="T70" i="18"/>
  <c r="S70" i="18"/>
  <c r="R70" i="18"/>
  <c r="Q70" i="18"/>
  <c r="O70" i="18"/>
  <c r="N70" i="18"/>
  <c r="M70" i="18"/>
  <c r="B70" i="18"/>
  <c r="AI69" i="18"/>
  <c r="AH69" i="18"/>
  <c r="AI68" i="18"/>
  <c r="AH68" i="18"/>
  <c r="AI67" i="18"/>
  <c r="AH67" i="18"/>
  <c r="AF66" i="18"/>
  <c r="AE66" i="18"/>
  <c r="AD66" i="18"/>
  <c r="AC66" i="18"/>
  <c r="AB66" i="18"/>
  <c r="Y66" i="18"/>
  <c r="W66" i="18"/>
  <c r="T66" i="18"/>
  <c r="R66" i="18"/>
  <c r="Q66" i="18"/>
  <c r="O66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B66" i="18"/>
  <c r="AI65" i="18"/>
  <c r="AH65" i="18"/>
  <c r="AI64" i="18"/>
  <c r="AH64" i="18"/>
  <c r="AI63" i="18"/>
  <c r="AH63" i="18"/>
  <c r="AI62" i="18"/>
  <c r="AH62" i="18"/>
  <c r="AI61" i="18"/>
  <c r="AH61" i="18"/>
  <c r="AI60" i="18"/>
  <c r="AH60" i="18"/>
  <c r="AI59" i="18"/>
  <c r="AH59" i="18"/>
  <c r="AI58" i="18"/>
  <c r="AH58" i="18"/>
  <c r="AI57" i="18"/>
  <c r="AH57" i="18"/>
  <c r="AI56" i="18"/>
  <c r="AH56" i="18"/>
  <c r="AI55" i="18"/>
  <c r="AH55" i="18"/>
  <c r="AI54" i="18"/>
  <c r="AH54" i="18"/>
  <c r="AI53" i="18"/>
  <c r="AH53" i="18"/>
  <c r="AG52" i="18"/>
  <c r="AF52" i="18"/>
  <c r="AE52" i="18"/>
  <c r="AD52" i="18"/>
  <c r="AC52" i="18"/>
  <c r="AB52" i="18"/>
  <c r="Y52" i="18"/>
  <c r="W52" i="18"/>
  <c r="T52" i="18"/>
  <c r="R52" i="18"/>
  <c r="Q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AI51" i="18"/>
  <c r="AH51" i="18"/>
  <c r="AI50" i="18"/>
  <c r="AH50" i="18"/>
  <c r="AI49" i="18"/>
  <c r="AH49" i="18"/>
  <c r="AG48" i="18"/>
  <c r="AF48" i="18"/>
  <c r="AE48" i="18"/>
  <c r="AD48" i="18"/>
  <c r="AC48" i="18"/>
  <c r="AB48" i="18"/>
  <c r="Y48" i="18"/>
  <c r="T48" i="18"/>
  <c r="R48" i="18"/>
  <c r="Q48" i="18"/>
  <c r="P87" i="18"/>
  <c r="P89" i="18" s="1"/>
  <c r="O48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B48" i="18"/>
  <c r="AI47" i="18"/>
  <c r="AH47" i="18"/>
  <c r="AI46" i="18"/>
  <c r="AH46" i="18"/>
  <c r="AI45" i="18"/>
  <c r="AH45" i="18"/>
  <c r="AI44" i="18"/>
  <c r="AH44" i="18"/>
  <c r="AI43" i="18"/>
  <c r="AH43" i="18"/>
  <c r="AI42" i="18"/>
  <c r="AH42" i="18"/>
  <c r="AI41" i="18"/>
  <c r="AH41" i="18"/>
  <c r="AI40" i="18"/>
  <c r="AH40" i="18"/>
  <c r="AI39" i="18"/>
  <c r="AH39" i="18"/>
  <c r="AI38" i="18"/>
  <c r="AH38" i="18"/>
  <c r="AI37" i="18"/>
  <c r="AH37" i="18"/>
  <c r="AI36" i="18"/>
  <c r="AH36" i="18"/>
  <c r="AI35" i="18"/>
  <c r="AH35" i="18"/>
  <c r="AI34" i="18"/>
  <c r="AH34" i="18"/>
  <c r="AI33" i="18"/>
  <c r="AH33" i="18"/>
  <c r="AI32" i="18"/>
  <c r="AH32" i="18"/>
  <c r="AI31" i="18"/>
  <c r="AH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I23" i="18"/>
  <c r="AH23" i="18"/>
  <c r="AI22" i="18"/>
  <c r="AH22" i="18"/>
  <c r="AI21" i="18"/>
  <c r="AH21" i="18"/>
  <c r="AI20" i="18"/>
  <c r="AH20" i="18"/>
  <c r="AI19" i="18"/>
  <c r="AH19" i="18"/>
  <c r="AI18" i="18"/>
  <c r="AH18" i="18"/>
  <c r="AI17" i="18"/>
  <c r="AH17" i="18"/>
  <c r="AI16" i="18"/>
  <c r="AH16" i="18"/>
  <c r="AI15" i="18"/>
  <c r="AH15" i="18"/>
  <c r="AI14" i="18"/>
  <c r="AH14" i="18"/>
  <c r="AI13" i="18"/>
  <c r="AH13" i="18"/>
  <c r="AI12" i="18"/>
  <c r="AH12" i="18"/>
  <c r="AI11" i="18"/>
  <c r="AH11" i="18"/>
  <c r="U5" i="18"/>
  <c r="T5" i="18"/>
  <c r="F5" i="18"/>
  <c r="D5" i="18"/>
  <c r="C5" i="18"/>
  <c r="AG4" i="18"/>
  <c r="K4" i="18"/>
  <c r="E4" i="18"/>
  <c r="H4" i="18" s="1"/>
  <c r="B4" i="18"/>
  <c r="S243" i="18" s="1"/>
  <c r="AA82" i="17"/>
  <c r="AA87" i="17" s="1"/>
  <c r="AA89" i="17" s="1"/>
  <c r="AA70" i="17"/>
  <c r="AA66" i="17"/>
  <c r="AA48" i="17"/>
  <c r="AA52" i="17"/>
  <c r="O111" i="17"/>
  <c r="B48" i="5"/>
  <c r="H48" i="17"/>
  <c r="D48" i="16"/>
  <c r="E48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R48" i="16"/>
  <c r="S48" i="16"/>
  <c r="T48" i="16"/>
  <c r="U48" i="16"/>
  <c r="V48" i="16"/>
  <c r="W48" i="16"/>
  <c r="X48" i="16"/>
  <c r="Y48" i="16"/>
  <c r="Z48" i="16"/>
  <c r="AA48" i="16"/>
  <c r="AB48" i="16"/>
  <c r="AC48" i="16"/>
  <c r="AD48" i="16"/>
  <c r="AE48" i="16"/>
  <c r="AF48" i="16"/>
  <c r="C48" i="16"/>
  <c r="C48" i="17"/>
  <c r="D48" i="17"/>
  <c r="E48" i="17"/>
  <c r="F48" i="17"/>
  <c r="G48" i="17"/>
  <c r="B48" i="17"/>
  <c r="D111" i="17"/>
  <c r="D52" i="17"/>
  <c r="D66" i="17"/>
  <c r="C111" i="17"/>
  <c r="B111" i="17"/>
  <c r="B108" i="17"/>
  <c r="B82" i="17"/>
  <c r="B98" i="17" s="1"/>
  <c r="B70" i="17"/>
  <c r="B66" i="17"/>
  <c r="B52" i="17"/>
  <c r="AF271" i="17"/>
  <c r="AE271" i="17"/>
  <c r="AD271" i="17"/>
  <c r="AC271" i="17"/>
  <c r="AB271" i="17"/>
  <c r="AA271" i="17"/>
  <c r="Z271" i="17"/>
  <c r="Y271" i="17"/>
  <c r="X271" i="17"/>
  <c r="W271" i="17"/>
  <c r="V271" i="17"/>
  <c r="U271" i="17"/>
  <c r="T271" i="17"/>
  <c r="S271" i="17"/>
  <c r="R271" i="17"/>
  <c r="Q271" i="17"/>
  <c r="P271" i="17"/>
  <c r="O271" i="17"/>
  <c r="N271" i="17"/>
  <c r="M271" i="17"/>
  <c r="L271" i="17"/>
  <c r="K271" i="17"/>
  <c r="J271" i="17"/>
  <c r="I271" i="17"/>
  <c r="H271" i="17"/>
  <c r="G271" i="17"/>
  <c r="F271" i="17"/>
  <c r="E271" i="17"/>
  <c r="D271" i="17"/>
  <c r="C271" i="17"/>
  <c r="B271" i="17"/>
  <c r="A271" i="17"/>
  <c r="AF270" i="17"/>
  <c r="AE270" i="17"/>
  <c r="AD270" i="17"/>
  <c r="AC270" i="17"/>
  <c r="AB270" i="17"/>
  <c r="AA270" i="17"/>
  <c r="Z270" i="17"/>
  <c r="Y270" i="17"/>
  <c r="X270" i="17"/>
  <c r="W270" i="17"/>
  <c r="V270" i="17"/>
  <c r="U270" i="17"/>
  <c r="T270" i="17"/>
  <c r="S270" i="17"/>
  <c r="R270" i="17"/>
  <c r="Q270" i="17"/>
  <c r="P270" i="17"/>
  <c r="O270" i="17"/>
  <c r="N270" i="17"/>
  <c r="M270" i="17"/>
  <c r="L270" i="17"/>
  <c r="K270" i="17"/>
  <c r="J270" i="17"/>
  <c r="I270" i="17"/>
  <c r="H270" i="17"/>
  <c r="G270" i="17"/>
  <c r="F270" i="17"/>
  <c r="E270" i="17"/>
  <c r="D270" i="17"/>
  <c r="C270" i="17"/>
  <c r="B270" i="17"/>
  <c r="A270" i="17"/>
  <c r="AF269" i="17"/>
  <c r="AE269" i="17"/>
  <c r="AD269" i="17"/>
  <c r="AC269" i="17"/>
  <c r="AB269" i="17"/>
  <c r="AA269" i="17"/>
  <c r="Z269" i="17"/>
  <c r="Y269" i="17"/>
  <c r="X269" i="17"/>
  <c r="W269" i="17"/>
  <c r="V269" i="17"/>
  <c r="U269" i="17"/>
  <c r="T269" i="17"/>
  <c r="S269" i="17"/>
  <c r="R269" i="17"/>
  <c r="Q269" i="17"/>
  <c r="P269" i="17"/>
  <c r="O269" i="17"/>
  <c r="N269" i="17"/>
  <c r="M269" i="17"/>
  <c r="L269" i="17"/>
  <c r="K269" i="17"/>
  <c r="J269" i="17"/>
  <c r="I269" i="17"/>
  <c r="H269" i="17"/>
  <c r="G269" i="17"/>
  <c r="F269" i="17"/>
  <c r="E269" i="17"/>
  <c r="D269" i="17"/>
  <c r="C269" i="17"/>
  <c r="B269" i="17"/>
  <c r="A269" i="17"/>
  <c r="AF268" i="17"/>
  <c r="AE268" i="17"/>
  <c r="AD268" i="17"/>
  <c r="AC268" i="17"/>
  <c r="AB268" i="17"/>
  <c r="AA268" i="17"/>
  <c r="Z268" i="17"/>
  <c r="Y268" i="17"/>
  <c r="X268" i="17"/>
  <c r="W268" i="17"/>
  <c r="V268" i="17"/>
  <c r="U268" i="17"/>
  <c r="T268" i="17"/>
  <c r="S268" i="17"/>
  <c r="R268" i="17"/>
  <c r="Q268" i="17"/>
  <c r="P268" i="17"/>
  <c r="O268" i="17"/>
  <c r="N268" i="17"/>
  <c r="M268" i="17"/>
  <c r="L268" i="17"/>
  <c r="K268" i="17"/>
  <c r="J268" i="17"/>
  <c r="I268" i="17"/>
  <c r="H268" i="17"/>
  <c r="G268" i="17"/>
  <c r="F268" i="17"/>
  <c r="E268" i="17"/>
  <c r="D268" i="17"/>
  <c r="C268" i="17"/>
  <c r="B268" i="17"/>
  <c r="A268" i="17"/>
  <c r="AE267" i="17"/>
  <c r="AD267" i="17"/>
  <c r="AC267" i="17"/>
  <c r="AB267" i="17"/>
  <c r="AA267" i="17"/>
  <c r="Z267" i="17"/>
  <c r="Y267" i="17"/>
  <c r="X267" i="17"/>
  <c r="W267" i="17"/>
  <c r="V267" i="17"/>
  <c r="U267" i="17"/>
  <c r="T267" i="17"/>
  <c r="S267" i="17"/>
  <c r="R267" i="17"/>
  <c r="Q267" i="17"/>
  <c r="P267" i="17"/>
  <c r="C267" i="17"/>
  <c r="B267" i="17"/>
  <c r="S242" i="17"/>
  <c r="AG232" i="17"/>
  <c r="AF232" i="17"/>
  <c r="AE232" i="17"/>
  <c r="AD232" i="17"/>
  <c r="AC232" i="17"/>
  <c r="AB232" i="17"/>
  <c r="AA232" i="17"/>
  <c r="Z232" i="17"/>
  <c r="Y232" i="17"/>
  <c r="X232" i="17"/>
  <c r="W232" i="17"/>
  <c r="V232" i="17"/>
  <c r="U232" i="17"/>
  <c r="T232" i="17"/>
  <c r="S232" i="17"/>
  <c r="R232" i="17"/>
  <c r="Q232" i="17"/>
  <c r="C232" i="17"/>
  <c r="E231" i="17"/>
  <c r="D267" i="17" s="1"/>
  <c r="D231" i="17"/>
  <c r="B231" i="17"/>
  <c r="AF267" i="17" s="1"/>
  <c r="F230" i="17"/>
  <c r="G230" i="17" s="1"/>
  <c r="H230" i="17" s="1"/>
  <c r="I230" i="17" s="1"/>
  <c r="J230" i="17" s="1"/>
  <c r="K230" i="17" s="1"/>
  <c r="L230" i="17" s="1"/>
  <c r="M230" i="17" s="1"/>
  <c r="N230" i="17" s="1"/>
  <c r="O230" i="17" s="1"/>
  <c r="P230" i="17" s="1"/>
  <c r="E230" i="17"/>
  <c r="D230" i="17"/>
  <c r="B230" i="17"/>
  <c r="D229" i="17"/>
  <c r="D232" i="17" s="1"/>
  <c r="B229" i="17"/>
  <c r="E228" i="17"/>
  <c r="F228" i="17" s="1"/>
  <c r="G228" i="17" s="1"/>
  <c r="H228" i="17" s="1"/>
  <c r="D228" i="17"/>
  <c r="B228" i="17"/>
  <c r="E227" i="17"/>
  <c r="F227" i="17" s="1"/>
  <c r="G227" i="17" s="1"/>
  <c r="H227" i="17" s="1"/>
  <c r="I227" i="17" s="1"/>
  <c r="J227" i="17" s="1"/>
  <c r="K227" i="17" s="1"/>
  <c r="L227" i="17" s="1"/>
  <c r="M227" i="17" s="1"/>
  <c r="N227" i="17" s="1"/>
  <c r="O227" i="17" s="1"/>
  <c r="P227" i="17" s="1"/>
  <c r="D227" i="17"/>
  <c r="B227" i="17"/>
  <c r="E226" i="17"/>
  <c r="F226" i="17" s="1"/>
  <c r="D226" i="17"/>
  <c r="B226" i="17"/>
  <c r="B232" i="17" s="1"/>
  <c r="AG224" i="17"/>
  <c r="AF224" i="17"/>
  <c r="AE224" i="17"/>
  <c r="AD224" i="17"/>
  <c r="AC224" i="17"/>
  <c r="AB224" i="17"/>
  <c r="AA224" i="17"/>
  <c r="Z224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AI117" i="17"/>
  <c r="AH117" i="17"/>
  <c r="AI116" i="17"/>
  <c r="AH116" i="17"/>
  <c r="AI115" i="17"/>
  <c r="AH115" i="17"/>
  <c r="AI114" i="17"/>
  <c r="AH114" i="17"/>
  <c r="AI113" i="17"/>
  <c r="AH113" i="17"/>
  <c r="AI112" i="17"/>
  <c r="AH112" i="17"/>
  <c r="AI111" i="17"/>
  <c r="AH111" i="17"/>
  <c r="AI110" i="17"/>
  <c r="AH110" i="17"/>
  <c r="AI109" i="17"/>
  <c r="AH109" i="17"/>
  <c r="AF108" i="17"/>
  <c r="AE108" i="17"/>
  <c r="AD108" i="17"/>
  <c r="AC108" i="17"/>
  <c r="AB108" i="17"/>
  <c r="Y108" i="17"/>
  <c r="X108" i="17"/>
  <c r="W108" i="17"/>
  <c r="V108" i="17"/>
  <c r="U108" i="17"/>
  <c r="T108" i="17"/>
  <c r="S108" i="17"/>
  <c r="R108" i="17"/>
  <c r="Q108" i="17"/>
  <c r="E108" i="17"/>
  <c r="D108" i="17"/>
  <c r="C108" i="17"/>
  <c r="AI107" i="17"/>
  <c r="AH107" i="17"/>
  <c r="AI106" i="17"/>
  <c r="AH106" i="17"/>
  <c r="AI105" i="17"/>
  <c r="AH105" i="17"/>
  <c r="AI104" i="17"/>
  <c r="AH104" i="17"/>
  <c r="AI103" i="17"/>
  <c r="AH103" i="17"/>
  <c r="AI102" i="17"/>
  <c r="AH102" i="17"/>
  <c r="AI101" i="17"/>
  <c r="AH101" i="17"/>
  <c r="AI100" i="17"/>
  <c r="AH100" i="17"/>
  <c r="AI99" i="17"/>
  <c r="AH99" i="17"/>
  <c r="O98" i="17"/>
  <c r="AI97" i="17"/>
  <c r="AH97" i="17"/>
  <c r="AI96" i="17"/>
  <c r="AH96" i="17"/>
  <c r="AI95" i="17"/>
  <c r="AH95" i="17"/>
  <c r="AI94" i="17"/>
  <c r="AH94" i="17"/>
  <c r="AI93" i="17"/>
  <c r="AH93" i="17"/>
  <c r="AI92" i="17"/>
  <c r="AH92" i="17"/>
  <c r="AI91" i="17"/>
  <c r="AH91" i="17"/>
  <c r="AI88" i="17"/>
  <c r="AH88" i="17"/>
  <c r="AI86" i="17"/>
  <c r="AH86" i="17"/>
  <c r="AG86" i="17"/>
  <c r="AI85" i="17"/>
  <c r="AH85" i="17"/>
  <c r="AI84" i="17"/>
  <c r="AH84" i="17"/>
  <c r="AI83" i="17"/>
  <c r="AH83" i="17"/>
  <c r="AN82" i="17"/>
  <c r="AG82" i="17"/>
  <c r="AF98" i="17"/>
  <c r="AE82" i="17"/>
  <c r="AD5" i="17" s="1"/>
  <c r="AD82" i="17"/>
  <c r="AD98" i="17" s="1"/>
  <c r="AC82" i="17"/>
  <c r="AC98" i="17" s="1"/>
  <c r="AB82" i="17"/>
  <c r="AB98" i="17" s="1"/>
  <c r="Y82" i="17"/>
  <c r="Y98" i="17" s="1"/>
  <c r="X82" i="17"/>
  <c r="X98" i="17" s="1"/>
  <c r="W82" i="17"/>
  <c r="W98" i="17" s="1"/>
  <c r="V82" i="17"/>
  <c r="V98" i="17" s="1"/>
  <c r="U82" i="17"/>
  <c r="T5" i="17" s="1"/>
  <c r="T82" i="17"/>
  <c r="T98" i="17" s="1"/>
  <c r="S82" i="17"/>
  <c r="S98" i="17" s="1"/>
  <c r="R82" i="17"/>
  <c r="R98" i="17" s="1"/>
  <c r="Q82" i="17"/>
  <c r="Q98" i="17" s="1"/>
  <c r="P82" i="17"/>
  <c r="P98" i="17" s="1"/>
  <c r="O82" i="17"/>
  <c r="N82" i="17"/>
  <c r="N98" i="17" s="1"/>
  <c r="M82" i="17"/>
  <c r="M98" i="17" s="1"/>
  <c r="L82" i="17"/>
  <c r="L98" i="17" s="1"/>
  <c r="K82" i="17"/>
  <c r="K98" i="17" s="1"/>
  <c r="J82" i="17"/>
  <c r="J98" i="17" s="1"/>
  <c r="I82" i="17"/>
  <c r="I98" i="17" s="1"/>
  <c r="H82" i="17"/>
  <c r="H98" i="17" s="1"/>
  <c r="G82" i="17"/>
  <c r="G98" i="17" s="1"/>
  <c r="F82" i="17"/>
  <c r="F98" i="17" s="1"/>
  <c r="E82" i="17"/>
  <c r="E98" i="17" s="1"/>
  <c r="D82" i="17"/>
  <c r="D98" i="17" s="1"/>
  <c r="C82" i="17"/>
  <c r="C98" i="17" s="1"/>
  <c r="AI81" i="17"/>
  <c r="AH81" i="17"/>
  <c r="AN80" i="17"/>
  <c r="AI80" i="17"/>
  <c r="AH80" i="17"/>
  <c r="AN79" i="17"/>
  <c r="AN81" i="17" s="1"/>
  <c r="AI79" i="17"/>
  <c r="AH79" i="17"/>
  <c r="AI78" i="17"/>
  <c r="AH78" i="17"/>
  <c r="AI77" i="17"/>
  <c r="AH77" i="17"/>
  <c r="AI76" i="17"/>
  <c r="AH76" i="17"/>
  <c r="AI75" i="17"/>
  <c r="AH75" i="17"/>
  <c r="AI74" i="17"/>
  <c r="AH74" i="17"/>
  <c r="AI73" i="17"/>
  <c r="AH73" i="17"/>
  <c r="AI72" i="17"/>
  <c r="AH72" i="17"/>
  <c r="AI71" i="17"/>
  <c r="AH71" i="17"/>
  <c r="AG70" i="17"/>
  <c r="AF70" i="17"/>
  <c r="AE70" i="17"/>
  <c r="AD70" i="17"/>
  <c r="AC70" i="17"/>
  <c r="AB70" i="17"/>
  <c r="Y70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AI69" i="17"/>
  <c r="AH69" i="17"/>
  <c r="AI68" i="17"/>
  <c r="AH68" i="17"/>
  <c r="AI67" i="17"/>
  <c r="AH67" i="17"/>
  <c r="AF66" i="17"/>
  <c r="AE66" i="17"/>
  <c r="AD66" i="17"/>
  <c r="AC66" i="17"/>
  <c r="AB66" i="17"/>
  <c r="Y66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C66" i="17"/>
  <c r="AI65" i="17"/>
  <c r="AH65" i="17"/>
  <c r="AG65" i="17"/>
  <c r="AG66" i="17" s="1"/>
  <c r="AG3" i="17" s="1"/>
  <c r="AI64" i="17"/>
  <c r="AH64" i="17"/>
  <c r="AI63" i="17"/>
  <c r="AH63" i="17"/>
  <c r="AI62" i="17"/>
  <c r="AH62" i="17"/>
  <c r="AI61" i="17"/>
  <c r="AH61" i="17"/>
  <c r="AI60" i="17"/>
  <c r="AH60" i="17"/>
  <c r="AI59" i="17"/>
  <c r="AH59" i="17"/>
  <c r="AI58" i="17"/>
  <c r="AH58" i="17"/>
  <c r="AI57" i="17"/>
  <c r="AH57" i="17"/>
  <c r="AI56" i="17"/>
  <c r="AH56" i="17"/>
  <c r="AI55" i="17"/>
  <c r="AH55" i="17"/>
  <c r="AI54" i="17"/>
  <c r="AH54" i="17"/>
  <c r="AI53" i="17"/>
  <c r="AH53" i="17"/>
  <c r="AG52" i="17"/>
  <c r="AF52" i="17"/>
  <c r="AE52" i="17"/>
  <c r="AD52" i="17"/>
  <c r="AC52" i="17"/>
  <c r="AB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C52" i="17"/>
  <c r="AI51" i="17"/>
  <c r="AH51" i="17"/>
  <c r="AI50" i="17"/>
  <c r="AH50" i="17"/>
  <c r="AI49" i="17"/>
  <c r="AH49" i="17"/>
  <c r="AG48" i="17"/>
  <c r="AF48" i="17"/>
  <c r="AE48" i="17"/>
  <c r="AD48" i="17"/>
  <c r="AC48" i="17"/>
  <c r="AB48" i="17"/>
  <c r="Y48" i="17"/>
  <c r="Y87" i="17" s="1"/>
  <c r="Y89" i="17" s="1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87" i="17"/>
  <c r="H89" i="17" s="1"/>
  <c r="D87" i="17"/>
  <c r="D89" i="17" s="1"/>
  <c r="AI47" i="17"/>
  <c r="AH47" i="17"/>
  <c r="AI46" i="17"/>
  <c r="AH46" i="17"/>
  <c r="AI45" i="17"/>
  <c r="AH45" i="17"/>
  <c r="AI44" i="17"/>
  <c r="AH44" i="17"/>
  <c r="AI43" i="17"/>
  <c r="AH43" i="17"/>
  <c r="AI42" i="17"/>
  <c r="AH42" i="17"/>
  <c r="AI41" i="17"/>
  <c r="AH41" i="17"/>
  <c r="AI40" i="17"/>
  <c r="AH40" i="17"/>
  <c r="AI39" i="17"/>
  <c r="AH39" i="17"/>
  <c r="AI38" i="17"/>
  <c r="AH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Z5" i="17"/>
  <c r="Y5" i="17"/>
  <c r="X5" i="17"/>
  <c r="U5" i="17"/>
  <c r="N5" i="17"/>
  <c r="G5" i="17"/>
  <c r="AG4" i="17"/>
  <c r="K4" i="17"/>
  <c r="E4" i="17"/>
  <c r="H4" i="17" s="1"/>
  <c r="B4" i="17"/>
  <c r="S243" i="17" s="1"/>
  <c r="AF111" i="16"/>
  <c r="AE111" i="16"/>
  <c r="AB111" i="16"/>
  <c r="AD111" i="16"/>
  <c r="AC111" i="16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F87" i="18" l="1"/>
  <c r="AF89" i="18" s="1"/>
  <c r="AF90" i="18" s="1"/>
  <c r="AD5" i="18"/>
  <c r="AE87" i="18"/>
  <c r="AE89" i="18" s="1"/>
  <c r="AE90" i="18" s="1"/>
  <c r="AC5" i="18"/>
  <c r="AD87" i="18"/>
  <c r="AD89" i="18" s="1"/>
  <c r="AD7" i="18" s="1"/>
  <c r="AB5" i="18"/>
  <c r="AC87" i="18"/>
  <c r="AC89" i="18" s="1"/>
  <c r="AA5" i="18"/>
  <c r="AB87" i="18"/>
  <c r="AB89" i="18" s="1"/>
  <c r="AB90" i="18" s="1"/>
  <c r="Y98" i="18"/>
  <c r="Y87" i="18"/>
  <c r="Y89" i="18" s="1"/>
  <c r="Y90" i="18" s="1"/>
  <c r="V5" i="18"/>
  <c r="W87" i="18"/>
  <c r="W89" i="18" s="1"/>
  <c r="W7" i="18" s="1"/>
  <c r="S5" i="18"/>
  <c r="T87" i="18"/>
  <c r="T89" i="18" s="1"/>
  <c r="T90" i="18" s="1"/>
  <c r="S87" i="18"/>
  <c r="S89" i="18" s="1"/>
  <c r="R87" i="18"/>
  <c r="R89" i="18" s="1"/>
  <c r="R98" i="18"/>
  <c r="Q98" i="18"/>
  <c r="Q87" i="18"/>
  <c r="Q89" i="18" s="1"/>
  <c r="Q7" i="18" s="1"/>
  <c r="O98" i="18"/>
  <c r="O87" i="18"/>
  <c r="O89" i="18" s="1"/>
  <c r="AG246" i="18" s="1"/>
  <c r="N98" i="18"/>
  <c r="N87" i="18"/>
  <c r="N89" i="18" s="1"/>
  <c r="AF246" i="18" s="1"/>
  <c r="M87" i="18"/>
  <c r="M89" i="18" s="1"/>
  <c r="M7" i="18" s="1"/>
  <c r="K5" i="18"/>
  <c r="L87" i="18"/>
  <c r="L89" i="18" s="1"/>
  <c r="L90" i="18" s="1"/>
  <c r="K87" i="18"/>
  <c r="K89" i="18" s="1"/>
  <c r="K90" i="18" s="1"/>
  <c r="J98" i="18"/>
  <c r="AI70" i="18"/>
  <c r="J87" i="18"/>
  <c r="J89" i="18" s="1"/>
  <c r="J7" i="18" s="1"/>
  <c r="I98" i="18"/>
  <c r="I87" i="18"/>
  <c r="I89" i="18" s="1"/>
  <c r="I90" i="18" s="1"/>
  <c r="H87" i="18"/>
  <c r="H89" i="18" s="1"/>
  <c r="H7" i="18" s="1"/>
  <c r="G87" i="18"/>
  <c r="G89" i="18" s="1"/>
  <c r="G7" i="18" s="1"/>
  <c r="E5" i="18"/>
  <c r="F87" i="18"/>
  <c r="F89" i="18" s="1"/>
  <c r="F90" i="18" s="1"/>
  <c r="E87" i="18"/>
  <c r="E89" i="18" s="1"/>
  <c r="E90" i="18" s="1"/>
  <c r="AI66" i="18"/>
  <c r="C87" i="18"/>
  <c r="C89" i="18" s="1"/>
  <c r="C90" i="18" s="1"/>
  <c r="AI52" i="18"/>
  <c r="D87" i="18"/>
  <c r="D89" i="18" s="1"/>
  <c r="V246" i="18" s="1"/>
  <c r="B87" i="18"/>
  <c r="B98" i="18"/>
  <c r="AA246" i="18"/>
  <c r="AG87" i="18"/>
  <c r="U7" i="18"/>
  <c r="AM246" i="18"/>
  <c r="AC7" i="18"/>
  <c r="AU246" i="18"/>
  <c r="AC90" i="18"/>
  <c r="G108" i="18"/>
  <c r="H226" i="18"/>
  <c r="G232" i="18"/>
  <c r="AS246" i="18"/>
  <c r="B89" i="18"/>
  <c r="R90" i="18"/>
  <c r="R7" i="18"/>
  <c r="AJ246" i="18"/>
  <c r="AR246" i="18"/>
  <c r="V7" i="18"/>
  <c r="AN246" i="18"/>
  <c r="W90" i="18"/>
  <c r="AW246" i="18"/>
  <c r="AG89" i="18"/>
  <c r="S7" i="18"/>
  <c r="S90" i="18"/>
  <c r="AK246" i="18"/>
  <c r="J229" i="18"/>
  <c r="K229" i="18" s="1"/>
  <c r="L229" i="18" s="1"/>
  <c r="M229" i="18" s="1"/>
  <c r="N229" i="18" s="1"/>
  <c r="O229" i="18" s="1"/>
  <c r="P229" i="18" s="1"/>
  <c r="H90" i="18"/>
  <c r="P90" i="18"/>
  <c r="P7" i="18"/>
  <c r="AH246" i="18"/>
  <c r="X7" i="18"/>
  <c r="AP246" i="18"/>
  <c r="AF7" i="18"/>
  <c r="AH52" i="18"/>
  <c r="AH70" i="18"/>
  <c r="E232" i="18"/>
  <c r="D243" i="18"/>
  <c r="B5" i="18"/>
  <c r="J5" i="18"/>
  <c r="R5" i="18"/>
  <c r="Z5" i="18"/>
  <c r="AH66" i="18"/>
  <c r="F232" i="18"/>
  <c r="AI82" i="18"/>
  <c r="AG2" i="18"/>
  <c r="AG6" i="18" s="1"/>
  <c r="H98" i="18"/>
  <c r="P98" i="18"/>
  <c r="AF98" i="18"/>
  <c r="AH82" i="18"/>
  <c r="F108" i="18"/>
  <c r="I231" i="18"/>
  <c r="AH48" i="18"/>
  <c r="AI48" i="18"/>
  <c r="AE5" i="17"/>
  <c r="AE98" i="17"/>
  <c r="AD87" i="17"/>
  <c r="AD89" i="17" s="1"/>
  <c r="AC5" i="17"/>
  <c r="AE87" i="17"/>
  <c r="AE89" i="17" s="1"/>
  <c r="AF87" i="17"/>
  <c r="AF89" i="17" s="1"/>
  <c r="AF7" i="17" s="1"/>
  <c r="AB5" i="17"/>
  <c r="AC87" i="17"/>
  <c r="AC89" i="17" s="1"/>
  <c r="AC7" i="17" s="1"/>
  <c r="AA5" i="17"/>
  <c r="AB87" i="17"/>
  <c r="AB89" i="17" s="1"/>
  <c r="AB90" i="17" s="1"/>
  <c r="W5" i="17"/>
  <c r="X87" i="17"/>
  <c r="X89" i="17" s="1"/>
  <c r="V5" i="17"/>
  <c r="W87" i="17"/>
  <c r="W89" i="17" s="1"/>
  <c r="V87" i="17"/>
  <c r="V89" i="17" s="1"/>
  <c r="U98" i="17"/>
  <c r="U87" i="17"/>
  <c r="U89" i="17" s="1"/>
  <c r="U7" i="17" s="1"/>
  <c r="S5" i="17"/>
  <c r="T87" i="17"/>
  <c r="T89" i="17" s="1"/>
  <c r="R5" i="17"/>
  <c r="S87" i="17"/>
  <c r="S89" i="17" s="1"/>
  <c r="R87" i="17"/>
  <c r="R89" i="17" s="1"/>
  <c r="P5" i="17"/>
  <c r="Q5" i="17"/>
  <c r="Q87" i="17"/>
  <c r="Q89" i="17" s="1"/>
  <c r="AI246" i="17" s="1"/>
  <c r="O5" i="17"/>
  <c r="P87" i="17"/>
  <c r="P89" i="17" s="1"/>
  <c r="P7" i="17" s="1"/>
  <c r="AI70" i="17"/>
  <c r="O87" i="17"/>
  <c r="O89" i="17" s="1"/>
  <c r="M5" i="17"/>
  <c r="N87" i="17"/>
  <c r="N89" i="17" s="1"/>
  <c r="L5" i="17"/>
  <c r="M87" i="17"/>
  <c r="M89" i="17" s="1"/>
  <c r="K5" i="17"/>
  <c r="L87" i="17"/>
  <c r="L89" i="17" s="1"/>
  <c r="J5" i="17"/>
  <c r="K87" i="17"/>
  <c r="K89" i="17" s="1"/>
  <c r="J87" i="17"/>
  <c r="J89" i="17" s="1"/>
  <c r="J7" i="17" s="1"/>
  <c r="I5" i="17"/>
  <c r="H5" i="17"/>
  <c r="I87" i="17"/>
  <c r="I89" i="17" s="1"/>
  <c r="I7" i="17" s="1"/>
  <c r="G87" i="17"/>
  <c r="G89" i="17" s="1"/>
  <c r="Y246" i="17" s="1"/>
  <c r="F5" i="17"/>
  <c r="AI52" i="17"/>
  <c r="E5" i="17"/>
  <c r="F87" i="17"/>
  <c r="F89" i="17" s="1"/>
  <c r="X246" i="17" s="1"/>
  <c r="D5" i="17"/>
  <c r="E87" i="17"/>
  <c r="E89" i="17" s="1"/>
  <c r="W246" i="17" s="1"/>
  <c r="C5" i="17"/>
  <c r="B5" i="17"/>
  <c r="AI66" i="17"/>
  <c r="C87" i="17"/>
  <c r="C89" i="17" s="1"/>
  <c r="U246" i="17" s="1"/>
  <c r="AF5" i="17"/>
  <c r="B87" i="17"/>
  <c r="B89" i="17" s="1"/>
  <c r="B90" i="17" s="1"/>
  <c r="P90" i="17"/>
  <c r="X90" i="17"/>
  <c r="X7" i="17"/>
  <c r="AP246" i="17"/>
  <c r="H90" i="17"/>
  <c r="H7" i="17"/>
  <c r="Z246" i="17"/>
  <c r="Q7" i="17"/>
  <c r="Y90" i="17"/>
  <c r="Y7" i="17"/>
  <c r="AQ246" i="17"/>
  <c r="AG87" i="17"/>
  <c r="Z7" i="17"/>
  <c r="AR246" i="17"/>
  <c r="S90" i="17"/>
  <c r="S7" i="17"/>
  <c r="AK246" i="17"/>
  <c r="AA7" i="17"/>
  <c r="AS246" i="17"/>
  <c r="G226" i="17"/>
  <c r="R90" i="17"/>
  <c r="R7" i="17"/>
  <c r="AJ246" i="17"/>
  <c r="K90" i="17"/>
  <c r="K7" i="17"/>
  <c r="AC246" i="17"/>
  <c r="D90" i="17"/>
  <c r="D7" i="17"/>
  <c r="V246" i="17"/>
  <c r="L90" i="17"/>
  <c r="L7" i="17"/>
  <c r="AD246" i="17"/>
  <c r="T90" i="17"/>
  <c r="T7" i="17"/>
  <c r="AL246" i="17"/>
  <c r="AT246" i="17"/>
  <c r="E90" i="17"/>
  <c r="M7" i="17"/>
  <c r="AE246" i="17"/>
  <c r="M90" i="17"/>
  <c r="AM246" i="17"/>
  <c r="N7" i="17"/>
  <c r="AF246" i="17"/>
  <c r="N90" i="17"/>
  <c r="AN246" i="17"/>
  <c r="V90" i="17"/>
  <c r="V7" i="17"/>
  <c r="AD7" i="17"/>
  <c r="AV246" i="17"/>
  <c r="AD90" i="17"/>
  <c r="AG89" i="17"/>
  <c r="J90" i="17"/>
  <c r="AB246" i="17"/>
  <c r="G90" i="17"/>
  <c r="G7" i="17"/>
  <c r="AG246" i="17"/>
  <c r="O90" i="17"/>
  <c r="O7" i="17"/>
  <c r="AO246" i="17"/>
  <c r="W90" i="17"/>
  <c r="W7" i="17"/>
  <c r="AW246" i="17"/>
  <c r="AE90" i="17"/>
  <c r="AE7" i="17"/>
  <c r="AI98" i="17"/>
  <c r="AH98" i="17"/>
  <c r="AH70" i="17"/>
  <c r="E232" i="17"/>
  <c r="D243" i="17"/>
  <c r="AH66" i="17"/>
  <c r="AG2" i="17"/>
  <c r="AG6" i="17" s="1"/>
  <c r="F231" i="17"/>
  <c r="F108" i="17" s="1"/>
  <c r="AH82" i="17"/>
  <c r="AH48" i="17"/>
  <c r="AH52" i="17"/>
  <c r="AI82" i="17"/>
  <c r="AI48" i="17"/>
  <c r="E229" i="17"/>
  <c r="F229" i="17" s="1"/>
  <c r="G229" i="17" s="1"/>
  <c r="H229" i="17" s="1"/>
  <c r="I229" i="17" s="1"/>
  <c r="N7" i="18" l="1"/>
  <c r="AX246" i="18"/>
  <c r="AE7" i="18"/>
  <c r="AV246" i="18"/>
  <c r="AD90" i="18"/>
  <c r="AT246" i="18"/>
  <c r="AB7" i="18"/>
  <c r="AQ246" i="18"/>
  <c r="Y7" i="18"/>
  <c r="AO246" i="18"/>
  <c r="AL246" i="18"/>
  <c r="T7" i="18"/>
  <c r="C241" i="17"/>
  <c r="E7" i="17"/>
  <c r="I90" i="17"/>
  <c r="F7" i="17"/>
  <c r="AA246" i="17"/>
  <c r="B241" i="17"/>
  <c r="F90" i="17"/>
  <c r="Q90" i="18"/>
  <c r="AI246" i="18"/>
  <c r="AI98" i="18"/>
  <c r="O7" i="18"/>
  <c r="O90" i="18"/>
  <c r="N90" i="18"/>
  <c r="AE246" i="18"/>
  <c r="M90" i="18"/>
  <c r="AD246" i="18"/>
  <c r="L7" i="18"/>
  <c r="K7" i="18"/>
  <c r="AC246" i="18"/>
  <c r="J90" i="18"/>
  <c r="AB246" i="18"/>
  <c r="I7" i="18"/>
  <c r="Z246" i="18"/>
  <c r="B241" i="18"/>
  <c r="G90" i="18"/>
  <c r="C241" i="18"/>
  <c r="Y246" i="18"/>
  <c r="X246" i="18"/>
  <c r="F7" i="18"/>
  <c r="W246" i="18"/>
  <c r="E7" i="18"/>
  <c r="AC90" i="17"/>
  <c r="AU246" i="17"/>
  <c r="D7" i="18"/>
  <c r="D90" i="18"/>
  <c r="C7" i="18"/>
  <c r="U246" i="18"/>
  <c r="AI87" i="18"/>
  <c r="AH87" i="18"/>
  <c r="AH98" i="18"/>
  <c r="H267" i="18"/>
  <c r="J231" i="18"/>
  <c r="I226" i="18"/>
  <c r="H108" i="18"/>
  <c r="H232" i="18"/>
  <c r="B90" i="18"/>
  <c r="AH89" i="18"/>
  <c r="B7" i="18"/>
  <c r="T246" i="18"/>
  <c r="AI89" i="18"/>
  <c r="AX246" i="17"/>
  <c r="AF90" i="17"/>
  <c r="U90" i="17"/>
  <c r="AB7" i="17"/>
  <c r="Q90" i="17"/>
  <c r="AH246" i="17"/>
  <c r="C7" i="17"/>
  <c r="C90" i="17"/>
  <c r="AI87" i="17"/>
  <c r="AH87" i="17"/>
  <c r="AI89" i="17"/>
  <c r="AH89" i="17"/>
  <c r="B7" i="17"/>
  <c r="T246" i="17"/>
  <c r="H226" i="17"/>
  <c r="J229" i="17"/>
  <c r="K229" i="17" s="1"/>
  <c r="L229" i="17" s="1"/>
  <c r="M229" i="17" s="1"/>
  <c r="N229" i="17" s="1"/>
  <c r="O229" i="17" s="1"/>
  <c r="P229" i="17" s="1"/>
  <c r="E267" i="17"/>
  <c r="G231" i="17"/>
  <c r="K6" i="17"/>
  <c r="F232" i="17"/>
  <c r="A7" i="17" l="1"/>
  <c r="K6" i="18"/>
  <c r="A7" i="18"/>
  <c r="I108" i="18"/>
  <c r="J226" i="18"/>
  <c r="K231" i="18"/>
  <c r="I267" i="18"/>
  <c r="AI90" i="18"/>
  <c r="AH90" i="18"/>
  <c r="AI90" i="17"/>
  <c r="AH90" i="17"/>
  <c r="I226" i="17"/>
  <c r="H108" i="17"/>
  <c r="F267" i="17"/>
  <c r="H231" i="17"/>
  <c r="G232" i="17"/>
  <c r="G108" i="17"/>
  <c r="J267" i="18" l="1"/>
  <c r="L231" i="18"/>
  <c r="J108" i="18"/>
  <c r="K226" i="18"/>
  <c r="G267" i="17"/>
  <c r="I231" i="17"/>
  <c r="H232" i="17"/>
  <c r="I108" i="17"/>
  <c r="J226" i="17"/>
  <c r="L226" i="18" l="1"/>
  <c r="K108" i="18"/>
  <c r="K267" i="18"/>
  <c r="M231" i="18"/>
  <c r="J108" i="17"/>
  <c r="K226" i="17"/>
  <c r="H267" i="17"/>
  <c r="J231" i="17"/>
  <c r="L267" i="18" l="1"/>
  <c r="N231" i="18"/>
  <c r="M226" i="18"/>
  <c r="L108" i="18"/>
  <c r="L226" i="17"/>
  <c r="K108" i="17"/>
  <c r="K231" i="17"/>
  <c r="I267" i="17"/>
  <c r="N226" i="18" l="1"/>
  <c r="M108" i="18"/>
  <c r="O231" i="18"/>
  <c r="M267" i="18"/>
  <c r="J267" i="17"/>
  <c r="L231" i="17"/>
  <c r="M226" i="17"/>
  <c r="L108" i="17"/>
  <c r="N267" i="18" l="1"/>
  <c r="P231" i="18"/>
  <c r="O267" i="18" s="1"/>
  <c r="O226" i="18"/>
  <c r="N108" i="18"/>
  <c r="N226" i="17"/>
  <c r="M108" i="17"/>
  <c r="K267" i="17"/>
  <c r="M231" i="17"/>
  <c r="P226" i="18" l="1"/>
  <c r="O108" i="18"/>
  <c r="L267" i="17"/>
  <c r="N231" i="17"/>
  <c r="O226" i="17"/>
  <c r="N108" i="17"/>
  <c r="AI108" i="18" l="1"/>
  <c r="AH108" i="18"/>
  <c r="P226" i="17"/>
  <c r="O108" i="17"/>
  <c r="M267" i="17"/>
  <c r="O231" i="17"/>
  <c r="AH108" i="17" l="1"/>
  <c r="AI108" i="17"/>
  <c r="N267" i="17"/>
  <c r="P231" i="17"/>
  <c r="O267" i="17" s="1"/>
  <c r="L111" i="16" l="1"/>
  <c r="K111" i="16"/>
  <c r="I111" i="16"/>
  <c r="F52" i="16"/>
  <c r="G52" i="16"/>
  <c r="H52" i="16"/>
  <c r="I52" i="16"/>
  <c r="J52" i="16"/>
  <c r="K52" i="16"/>
  <c r="L52" i="16"/>
  <c r="F66" i="16"/>
  <c r="G66" i="16"/>
  <c r="H66" i="16"/>
  <c r="I66" i="16"/>
  <c r="J66" i="16"/>
  <c r="K66" i="16"/>
  <c r="L66" i="16"/>
  <c r="F82" i="16"/>
  <c r="E5" i="16" s="1"/>
  <c r="G82" i="16"/>
  <c r="F5" i="16" s="1"/>
  <c r="H82" i="16"/>
  <c r="H98" i="16" s="1"/>
  <c r="I82" i="16"/>
  <c r="J82" i="16"/>
  <c r="I5" i="16" s="1"/>
  <c r="K82" i="16"/>
  <c r="J5" i="16" s="1"/>
  <c r="L82" i="16"/>
  <c r="L98" i="16" s="1"/>
  <c r="F108" i="16"/>
  <c r="G108" i="16"/>
  <c r="H108" i="16"/>
  <c r="I108" i="16"/>
  <c r="J108" i="16"/>
  <c r="K108" i="16"/>
  <c r="L108" i="16"/>
  <c r="AL17" i="15"/>
  <c r="AF271" i="16"/>
  <c r="AE271" i="16"/>
  <c r="AD271" i="16"/>
  <c r="AC271" i="16"/>
  <c r="AB271" i="16"/>
  <c r="AA271" i="16"/>
  <c r="Z271" i="16"/>
  <c r="Y271" i="16"/>
  <c r="X271" i="16"/>
  <c r="W271" i="16"/>
  <c r="V271" i="16"/>
  <c r="U271" i="16"/>
  <c r="T271" i="16"/>
  <c r="S271" i="16"/>
  <c r="R271" i="16"/>
  <c r="Q271" i="16"/>
  <c r="P271" i="16"/>
  <c r="O271" i="16"/>
  <c r="N271" i="16"/>
  <c r="M271" i="16"/>
  <c r="L271" i="16"/>
  <c r="K271" i="16"/>
  <c r="J271" i="16"/>
  <c r="I271" i="16"/>
  <c r="H271" i="16"/>
  <c r="G271" i="16"/>
  <c r="F271" i="16"/>
  <c r="E271" i="16"/>
  <c r="D271" i="16"/>
  <c r="C271" i="16"/>
  <c r="B271" i="16"/>
  <c r="A271" i="16"/>
  <c r="AF270" i="16"/>
  <c r="AE270" i="16"/>
  <c r="AD270" i="16"/>
  <c r="AC270" i="16"/>
  <c r="AB270" i="16"/>
  <c r="AA270" i="16"/>
  <c r="Z270" i="16"/>
  <c r="Y270" i="16"/>
  <c r="X270" i="16"/>
  <c r="W270" i="16"/>
  <c r="V270" i="16"/>
  <c r="U270" i="16"/>
  <c r="T270" i="16"/>
  <c r="S270" i="16"/>
  <c r="R270" i="16"/>
  <c r="Q270" i="16"/>
  <c r="P270" i="16"/>
  <c r="O270" i="16"/>
  <c r="N270" i="16"/>
  <c r="M270" i="16"/>
  <c r="L270" i="16"/>
  <c r="K270" i="16"/>
  <c r="J270" i="16"/>
  <c r="I270" i="16"/>
  <c r="H270" i="16"/>
  <c r="G270" i="16"/>
  <c r="F270" i="16"/>
  <c r="E270" i="16"/>
  <c r="D270" i="16"/>
  <c r="C270" i="16"/>
  <c r="B270" i="16"/>
  <c r="A270" i="16"/>
  <c r="AF269" i="16"/>
  <c r="AE269" i="16"/>
  <c r="AD269" i="16"/>
  <c r="AC269" i="16"/>
  <c r="AB269" i="16"/>
  <c r="AA269" i="16"/>
  <c r="Z269" i="16"/>
  <c r="Y269" i="16"/>
  <c r="X269" i="16"/>
  <c r="W269" i="16"/>
  <c r="V269" i="16"/>
  <c r="U269" i="16"/>
  <c r="T269" i="16"/>
  <c r="S269" i="16"/>
  <c r="R269" i="16"/>
  <c r="Q269" i="16"/>
  <c r="P269" i="16"/>
  <c r="O269" i="16"/>
  <c r="N269" i="16"/>
  <c r="M269" i="16"/>
  <c r="L269" i="16"/>
  <c r="K269" i="16"/>
  <c r="J269" i="16"/>
  <c r="I269" i="16"/>
  <c r="H269" i="16"/>
  <c r="G269" i="16"/>
  <c r="F269" i="16"/>
  <c r="E269" i="16"/>
  <c r="D269" i="16"/>
  <c r="C269" i="16"/>
  <c r="B269" i="16"/>
  <c r="A269" i="16"/>
  <c r="AF268" i="16"/>
  <c r="AE268" i="16"/>
  <c r="AD268" i="16"/>
  <c r="AC268" i="16"/>
  <c r="AB268" i="16"/>
  <c r="AA268" i="16"/>
  <c r="Z268" i="16"/>
  <c r="Y268" i="16"/>
  <c r="X268" i="16"/>
  <c r="W268" i="16"/>
  <c r="V268" i="16"/>
  <c r="U268" i="16"/>
  <c r="T268" i="16"/>
  <c r="S268" i="16"/>
  <c r="R268" i="16"/>
  <c r="Q268" i="16"/>
  <c r="P268" i="16"/>
  <c r="O268" i="16"/>
  <c r="N268" i="16"/>
  <c r="M268" i="16"/>
  <c r="L268" i="16"/>
  <c r="K268" i="16"/>
  <c r="J268" i="16"/>
  <c r="I268" i="16"/>
  <c r="H268" i="16"/>
  <c r="G268" i="16"/>
  <c r="F268" i="16"/>
  <c r="E268" i="16"/>
  <c r="D268" i="16"/>
  <c r="C268" i="16"/>
  <c r="B268" i="16"/>
  <c r="A268" i="16"/>
  <c r="AE267" i="16"/>
  <c r="AD267" i="16"/>
  <c r="AC267" i="16"/>
  <c r="AB267" i="16"/>
  <c r="AA267" i="16"/>
  <c r="Z267" i="16"/>
  <c r="Y267" i="16"/>
  <c r="X267" i="16"/>
  <c r="W267" i="16"/>
  <c r="V267" i="16"/>
  <c r="U267" i="16"/>
  <c r="T267" i="16"/>
  <c r="S267" i="16"/>
  <c r="R267" i="16"/>
  <c r="Q267" i="16"/>
  <c r="P267" i="16"/>
  <c r="B267" i="16"/>
  <c r="S242" i="16"/>
  <c r="AG232" i="16"/>
  <c r="AF232" i="16"/>
  <c r="AE232" i="16"/>
  <c r="AD232" i="16"/>
  <c r="AC232" i="16"/>
  <c r="AB232" i="16"/>
  <c r="AA232" i="16"/>
  <c r="Z232" i="16"/>
  <c r="Y232" i="16"/>
  <c r="X232" i="16"/>
  <c r="W232" i="16"/>
  <c r="V232" i="16"/>
  <c r="U232" i="16"/>
  <c r="T232" i="16"/>
  <c r="S232" i="16"/>
  <c r="R232" i="16"/>
  <c r="Q232" i="16"/>
  <c r="C232" i="16"/>
  <c r="D231" i="16"/>
  <c r="C267" i="16" s="1"/>
  <c r="B231" i="16"/>
  <c r="AF267" i="16" s="1"/>
  <c r="D230" i="16"/>
  <c r="E230" i="16" s="1"/>
  <c r="F230" i="16" s="1"/>
  <c r="G230" i="16" s="1"/>
  <c r="H230" i="16" s="1"/>
  <c r="I230" i="16" s="1"/>
  <c r="J230" i="16" s="1"/>
  <c r="K230" i="16" s="1"/>
  <c r="L230" i="16" s="1"/>
  <c r="M230" i="16" s="1"/>
  <c r="N230" i="16" s="1"/>
  <c r="O230" i="16" s="1"/>
  <c r="P230" i="16" s="1"/>
  <c r="B230" i="16"/>
  <c r="F229" i="16"/>
  <c r="G229" i="16" s="1"/>
  <c r="H229" i="16" s="1"/>
  <c r="I229" i="16" s="1"/>
  <c r="E229" i="16"/>
  <c r="D229" i="16"/>
  <c r="B229" i="16"/>
  <c r="D228" i="16"/>
  <c r="E228" i="16" s="1"/>
  <c r="F228" i="16" s="1"/>
  <c r="G228" i="16" s="1"/>
  <c r="H228" i="16" s="1"/>
  <c r="B228" i="16"/>
  <c r="D227" i="16"/>
  <c r="E227" i="16" s="1"/>
  <c r="B227" i="16"/>
  <c r="E226" i="16"/>
  <c r="F226" i="16" s="1"/>
  <c r="D226" i="16"/>
  <c r="D232" i="16" s="1"/>
  <c r="B226" i="16"/>
  <c r="B232" i="16" s="1"/>
  <c r="AG224" i="16"/>
  <c r="AF224" i="16"/>
  <c r="AE224" i="16"/>
  <c r="AD224" i="16"/>
  <c r="AC224" i="16"/>
  <c r="AB224" i="16"/>
  <c r="AA224" i="16"/>
  <c r="Z224" i="16"/>
  <c r="Y224" i="16"/>
  <c r="X224" i="16"/>
  <c r="W224" i="16"/>
  <c r="V224" i="16"/>
  <c r="U224" i="16"/>
  <c r="T224" i="16"/>
  <c r="S224" i="16"/>
  <c r="R224" i="16"/>
  <c r="Q224" i="16"/>
  <c r="P224" i="16"/>
  <c r="O224" i="16"/>
  <c r="N224" i="16"/>
  <c r="M224" i="16"/>
  <c r="L224" i="16"/>
  <c r="K224" i="16"/>
  <c r="J224" i="16"/>
  <c r="I224" i="16"/>
  <c r="H224" i="16"/>
  <c r="G224" i="16"/>
  <c r="F224" i="16"/>
  <c r="E224" i="16"/>
  <c r="D224" i="16"/>
  <c r="C224" i="16"/>
  <c r="B224" i="16"/>
  <c r="AI117" i="16"/>
  <c r="AH117" i="16"/>
  <c r="AI116" i="16"/>
  <c r="AH116" i="16"/>
  <c r="AI115" i="16"/>
  <c r="AH115" i="16"/>
  <c r="AI114" i="16"/>
  <c r="AH114" i="16"/>
  <c r="AI113" i="16"/>
  <c r="AH113" i="16"/>
  <c r="AI112" i="16"/>
  <c r="AH112" i="16"/>
  <c r="AI111" i="16"/>
  <c r="AH111" i="16"/>
  <c r="AI110" i="16"/>
  <c r="AH110" i="16"/>
  <c r="AI109" i="16"/>
  <c r="AH109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C108" i="16"/>
  <c r="AI107" i="16"/>
  <c r="AH107" i="16"/>
  <c r="AI106" i="16"/>
  <c r="AH106" i="16"/>
  <c r="AI105" i="16"/>
  <c r="AH105" i="16"/>
  <c r="AI104" i="16"/>
  <c r="AH104" i="16"/>
  <c r="AI103" i="16"/>
  <c r="AH103" i="16"/>
  <c r="AI102" i="16"/>
  <c r="AH102" i="16"/>
  <c r="AI101" i="16"/>
  <c r="AH101" i="16"/>
  <c r="AI100" i="16"/>
  <c r="AH100" i="16"/>
  <c r="AI99" i="16"/>
  <c r="AH99" i="16"/>
  <c r="AI97" i="16"/>
  <c r="AH97" i="16"/>
  <c r="AI96" i="16"/>
  <c r="AH96" i="16"/>
  <c r="AI95" i="16"/>
  <c r="AH95" i="16"/>
  <c r="AI94" i="16"/>
  <c r="AH94" i="16"/>
  <c r="AI93" i="16"/>
  <c r="AH93" i="16"/>
  <c r="AI92" i="16"/>
  <c r="AH92" i="16"/>
  <c r="AI91" i="16"/>
  <c r="AH91" i="16"/>
  <c r="AI88" i="16"/>
  <c r="AH88" i="16"/>
  <c r="AI86" i="16"/>
  <c r="AH86" i="16"/>
  <c r="AG86" i="16"/>
  <c r="AI85" i="16"/>
  <c r="AH85" i="16"/>
  <c r="AI84" i="16"/>
  <c r="AH84" i="16"/>
  <c r="AI83" i="16"/>
  <c r="AH83" i="16"/>
  <c r="AN82" i="16"/>
  <c r="AG82" i="16"/>
  <c r="AG89" i="16" s="1"/>
  <c r="AF82" i="16"/>
  <c r="AF98" i="16" s="1"/>
  <c r="AE82" i="16"/>
  <c r="AD5" i="16" s="1"/>
  <c r="AD82" i="16"/>
  <c r="AD98" i="16" s="1"/>
  <c r="AC82" i="16"/>
  <c r="AC98" i="16" s="1"/>
  <c r="AB82" i="16"/>
  <c r="AB98" i="16" s="1"/>
  <c r="AA82" i="16"/>
  <c r="AA98" i="16" s="1"/>
  <c r="Z82" i="16"/>
  <c r="Z98" i="16" s="1"/>
  <c r="Y82" i="16"/>
  <c r="Y98" i="16" s="1"/>
  <c r="X82" i="16"/>
  <c r="X98" i="16" s="1"/>
  <c r="W82" i="16"/>
  <c r="V5" i="16" s="1"/>
  <c r="V82" i="16"/>
  <c r="V98" i="16" s="1"/>
  <c r="U82" i="16"/>
  <c r="U98" i="16" s="1"/>
  <c r="T82" i="16"/>
  <c r="T98" i="16" s="1"/>
  <c r="S82" i="16"/>
  <c r="S98" i="16" s="1"/>
  <c r="R82" i="16"/>
  <c r="R98" i="16" s="1"/>
  <c r="Q82" i="16"/>
  <c r="Q98" i="16" s="1"/>
  <c r="P82" i="16"/>
  <c r="P98" i="16" s="1"/>
  <c r="O82" i="16"/>
  <c r="N5" i="16" s="1"/>
  <c r="N82" i="16"/>
  <c r="M5" i="16" s="1"/>
  <c r="M82" i="16"/>
  <c r="M98" i="16" s="1"/>
  <c r="E82" i="16"/>
  <c r="E98" i="16" s="1"/>
  <c r="D82" i="16"/>
  <c r="D98" i="16" s="1"/>
  <c r="C82" i="16"/>
  <c r="C98" i="16" s="1"/>
  <c r="AN81" i="16"/>
  <c r="AI81" i="16"/>
  <c r="AH81" i="16"/>
  <c r="AN80" i="16"/>
  <c r="AI80" i="16"/>
  <c r="AH80" i="16"/>
  <c r="AN79" i="16"/>
  <c r="AI79" i="16"/>
  <c r="AH79" i="16"/>
  <c r="AI78" i="16"/>
  <c r="AH78" i="16"/>
  <c r="AI77" i="16"/>
  <c r="AH77" i="16"/>
  <c r="AI76" i="16"/>
  <c r="AH76" i="16"/>
  <c r="AI75" i="16"/>
  <c r="AH75" i="16"/>
  <c r="AI74" i="16"/>
  <c r="AH74" i="16"/>
  <c r="AI73" i="16"/>
  <c r="AH73" i="16"/>
  <c r="AI72" i="16"/>
  <c r="AH72" i="16"/>
  <c r="AI71" i="16"/>
  <c r="AH71" i="16"/>
  <c r="AG70" i="16"/>
  <c r="AF70" i="16"/>
  <c r="AE70" i="16"/>
  <c r="AD70" i="16"/>
  <c r="AC70" i="16"/>
  <c r="AB70" i="16"/>
  <c r="AA70" i="16"/>
  <c r="Z70" i="16"/>
  <c r="Y70" i="16"/>
  <c r="X70" i="16"/>
  <c r="W70" i="16"/>
  <c r="V70" i="16"/>
  <c r="U70" i="16"/>
  <c r="T70" i="16"/>
  <c r="S70" i="16"/>
  <c r="R70" i="16"/>
  <c r="Q70" i="16"/>
  <c r="P70" i="16"/>
  <c r="O70" i="16"/>
  <c r="N70" i="16"/>
  <c r="M70" i="16"/>
  <c r="AI69" i="16"/>
  <c r="AH69" i="16"/>
  <c r="AI68" i="16"/>
  <c r="AH68" i="16"/>
  <c r="AI67" i="16"/>
  <c r="AH67" i="16"/>
  <c r="AG66" i="16"/>
  <c r="AG3" i="16" s="1"/>
  <c r="AF66" i="16"/>
  <c r="AE66" i="16"/>
  <c r="AD66" i="16"/>
  <c r="AC66" i="16"/>
  <c r="AB66" i="16"/>
  <c r="AA66" i="16"/>
  <c r="Z66" i="16"/>
  <c r="Y66" i="16"/>
  <c r="X66" i="16"/>
  <c r="W66" i="16"/>
  <c r="V66" i="16"/>
  <c r="U66" i="16"/>
  <c r="T66" i="16"/>
  <c r="S66" i="16"/>
  <c r="R66" i="16"/>
  <c r="Q66" i="16"/>
  <c r="P66" i="16"/>
  <c r="O66" i="16"/>
  <c r="N66" i="16"/>
  <c r="M66" i="16"/>
  <c r="E66" i="16"/>
  <c r="D66" i="16"/>
  <c r="C66" i="16"/>
  <c r="AI65" i="16"/>
  <c r="AH65" i="16"/>
  <c r="AG65" i="16"/>
  <c r="AI64" i="16"/>
  <c r="AH64" i="16"/>
  <c r="AI63" i="16"/>
  <c r="AH63" i="16"/>
  <c r="AI62" i="16"/>
  <c r="AH62" i="16"/>
  <c r="AI61" i="16"/>
  <c r="AH61" i="16"/>
  <c r="AI60" i="16"/>
  <c r="AH60" i="16"/>
  <c r="AI59" i="16"/>
  <c r="AH59" i="16"/>
  <c r="AI58" i="16"/>
  <c r="AH58" i="16"/>
  <c r="AI57" i="16"/>
  <c r="AH57" i="16"/>
  <c r="AI56" i="16"/>
  <c r="AH56" i="16"/>
  <c r="AI55" i="16"/>
  <c r="AH55" i="16"/>
  <c r="AI54" i="16"/>
  <c r="AH54" i="16"/>
  <c r="AI53" i="16"/>
  <c r="AH53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E52" i="16"/>
  <c r="D52" i="16"/>
  <c r="C52" i="16"/>
  <c r="AI51" i="16"/>
  <c r="AH51" i="16"/>
  <c r="AI50" i="16"/>
  <c r="AH50" i="16"/>
  <c r="AI49" i="16"/>
  <c r="AH49" i="16"/>
  <c r="AG48" i="16"/>
  <c r="AG87" i="16" s="1"/>
  <c r="AF87" i="16"/>
  <c r="AF89" i="16" s="1"/>
  <c r="Z87" i="16"/>
  <c r="Z89" i="16" s="1"/>
  <c r="S87" i="16"/>
  <c r="S89" i="16" s="1"/>
  <c r="AI47" i="16"/>
  <c r="AH47" i="16"/>
  <c r="AI46" i="16"/>
  <c r="AH46" i="16"/>
  <c r="AI45" i="16"/>
  <c r="AH45" i="16"/>
  <c r="AI44" i="16"/>
  <c r="AH44" i="16"/>
  <c r="AI43" i="16"/>
  <c r="AH43" i="16"/>
  <c r="AI42" i="16"/>
  <c r="AH42" i="16"/>
  <c r="AI41" i="16"/>
  <c r="AH41" i="16"/>
  <c r="AI40" i="16"/>
  <c r="AH40" i="16"/>
  <c r="AI39" i="16"/>
  <c r="AH39" i="16"/>
  <c r="AI38" i="16"/>
  <c r="AH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AF5" i="16"/>
  <c r="Y5" i="16"/>
  <c r="R5" i="16"/>
  <c r="H5" i="16"/>
  <c r="AG4" i="16"/>
  <c r="K4" i="16"/>
  <c r="E4" i="16"/>
  <c r="H4" i="16" s="1"/>
  <c r="B4" i="16"/>
  <c r="S243" i="16" s="1"/>
  <c r="AG2" i="16"/>
  <c r="AG6" i="16" s="1"/>
  <c r="AC48" i="15"/>
  <c r="AC52" i="15"/>
  <c r="AB111" i="15"/>
  <c r="AB48" i="15"/>
  <c r="AB52" i="15"/>
  <c r="AB66" i="15"/>
  <c r="AB70" i="15"/>
  <c r="AB82" i="15"/>
  <c r="AE5" i="16" l="1"/>
  <c r="AE87" i="16"/>
  <c r="AE89" i="16" s="1"/>
  <c r="AC5" i="16"/>
  <c r="AD87" i="16"/>
  <c r="AD89" i="16" s="1"/>
  <c r="AB87" i="16"/>
  <c r="AB89" i="16" s="1"/>
  <c r="AA5" i="16"/>
  <c r="AB5" i="16"/>
  <c r="AC87" i="16"/>
  <c r="AC89" i="16" s="1"/>
  <c r="AC7" i="16" s="1"/>
  <c r="Z5" i="16"/>
  <c r="AA87" i="16"/>
  <c r="AA89" i="16" s="1"/>
  <c r="X5" i="16"/>
  <c r="Y87" i="16"/>
  <c r="Y89" i="16" s="1"/>
  <c r="W5" i="16"/>
  <c r="X87" i="16"/>
  <c r="X89" i="16" s="1"/>
  <c r="W87" i="16"/>
  <c r="W89" i="16" s="1"/>
  <c r="U5" i="16"/>
  <c r="V87" i="16"/>
  <c r="V89" i="16" s="1"/>
  <c r="U87" i="16"/>
  <c r="U89" i="16" s="1"/>
  <c r="T5" i="16"/>
  <c r="S5" i="16"/>
  <c r="T87" i="16"/>
  <c r="T89" i="16" s="1"/>
  <c r="Q5" i="16"/>
  <c r="R87" i="16"/>
  <c r="R89" i="16" s="1"/>
  <c r="P5" i="16"/>
  <c r="O5" i="16"/>
  <c r="Q87" i="16"/>
  <c r="Q89" i="16" s="1"/>
  <c r="P87" i="16"/>
  <c r="P89" i="16" s="1"/>
  <c r="O87" i="16"/>
  <c r="O89" i="16" s="1"/>
  <c r="AI70" i="16"/>
  <c r="N98" i="16"/>
  <c r="N87" i="16"/>
  <c r="N89" i="16" s="1"/>
  <c r="AH70" i="16"/>
  <c r="M87" i="16"/>
  <c r="M89" i="16" s="1"/>
  <c r="M90" i="16" s="1"/>
  <c r="L5" i="16"/>
  <c r="K5" i="16"/>
  <c r="K98" i="16"/>
  <c r="J98" i="16"/>
  <c r="J87" i="16"/>
  <c r="J89" i="16" s="1"/>
  <c r="J90" i="16" s="1"/>
  <c r="K87" i="16"/>
  <c r="K89" i="16" s="1"/>
  <c r="K90" i="16" s="1"/>
  <c r="I87" i="16"/>
  <c r="I89" i="16" s="1"/>
  <c r="I90" i="16" s="1"/>
  <c r="AI66" i="16"/>
  <c r="G5" i="16"/>
  <c r="H87" i="16"/>
  <c r="H89" i="16" s="1"/>
  <c r="H90" i="16" s="1"/>
  <c r="I98" i="16"/>
  <c r="L87" i="16"/>
  <c r="L89" i="16" s="1"/>
  <c r="L90" i="16" s="1"/>
  <c r="F87" i="16"/>
  <c r="F89" i="16" s="1"/>
  <c r="F90" i="16" s="1"/>
  <c r="AH52" i="16"/>
  <c r="G98" i="16"/>
  <c r="G87" i="16"/>
  <c r="G89" i="16" s="1"/>
  <c r="G90" i="16" s="1"/>
  <c r="F98" i="16"/>
  <c r="D5" i="16"/>
  <c r="E87" i="16"/>
  <c r="E89" i="16" s="1"/>
  <c r="E7" i="16" s="1"/>
  <c r="D87" i="16"/>
  <c r="D89" i="16" s="1"/>
  <c r="V246" i="16" s="1"/>
  <c r="C5" i="16"/>
  <c r="AI52" i="16"/>
  <c r="C87" i="16"/>
  <c r="C89" i="16" s="1"/>
  <c r="C90" i="16" s="1"/>
  <c r="B5" i="16"/>
  <c r="D243" i="16"/>
  <c r="U7" i="16"/>
  <c r="AM246" i="16"/>
  <c r="U90" i="16"/>
  <c r="N7" i="16"/>
  <c r="AF246" i="16"/>
  <c r="N90" i="16"/>
  <c r="V7" i="16"/>
  <c r="AN246" i="16"/>
  <c r="V90" i="16"/>
  <c r="AD7" i="16"/>
  <c r="AV246" i="16"/>
  <c r="AD90" i="16"/>
  <c r="AA90" i="16"/>
  <c r="AA7" i="16"/>
  <c r="AS246" i="16"/>
  <c r="AG246" i="16"/>
  <c r="O90" i="16"/>
  <c r="O7" i="16"/>
  <c r="AO246" i="16"/>
  <c r="W7" i="16"/>
  <c r="W90" i="16"/>
  <c r="AW246" i="16"/>
  <c r="AE7" i="16"/>
  <c r="AE90" i="16"/>
  <c r="F227" i="16"/>
  <c r="G227" i="16" s="1"/>
  <c r="H227" i="16" s="1"/>
  <c r="I227" i="16" s="1"/>
  <c r="J227" i="16" s="1"/>
  <c r="K227" i="16" s="1"/>
  <c r="L227" i="16" s="1"/>
  <c r="M227" i="16" s="1"/>
  <c r="N227" i="16" s="1"/>
  <c r="O227" i="16" s="1"/>
  <c r="P227" i="16" s="1"/>
  <c r="X90" i="16"/>
  <c r="X7" i="16"/>
  <c r="AP246" i="16"/>
  <c r="AF90" i="16"/>
  <c r="AX246" i="16"/>
  <c r="AF7" i="16"/>
  <c r="M7" i="16"/>
  <c r="AE246" i="16"/>
  <c r="S90" i="16"/>
  <c r="S7" i="16"/>
  <c r="AK246" i="16"/>
  <c r="Y246" i="16"/>
  <c r="Y90" i="16"/>
  <c r="Y7" i="16"/>
  <c r="AQ246" i="16"/>
  <c r="R90" i="16"/>
  <c r="R7" i="16"/>
  <c r="AJ246" i="16"/>
  <c r="H7" i="16"/>
  <c r="Z90" i="16"/>
  <c r="Z7" i="16"/>
  <c r="AR246" i="16"/>
  <c r="G226" i="16"/>
  <c r="J229" i="16"/>
  <c r="K229" i="16" s="1"/>
  <c r="L229" i="16" s="1"/>
  <c r="M229" i="16" s="1"/>
  <c r="N229" i="16" s="1"/>
  <c r="O229" i="16" s="1"/>
  <c r="P229" i="16" s="1"/>
  <c r="AH246" i="16"/>
  <c r="P90" i="16"/>
  <c r="P7" i="16"/>
  <c r="Q90" i="16"/>
  <c r="Q7" i="16"/>
  <c r="AI246" i="16"/>
  <c r="AB246" i="16"/>
  <c r="T90" i="16"/>
  <c r="T7" i="16"/>
  <c r="AL246" i="16"/>
  <c r="AB90" i="16"/>
  <c r="AB7" i="16"/>
  <c r="AT246" i="16"/>
  <c r="K7" i="16"/>
  <c r="AH66" i="16"/>
  <c r="O98" i="16"/>
  <c r="W98" i="16"/>
  <c r="AE98" i="16"/>
  <c r="D108" i="16"/>
  <c r="E231" i="16"/>
  <c r="AH82" i="16"/>
  <c r="AH48" i="16"/>
  <c r="AI82" i="16"/>
  <c r="AI48" i="16"/>
  <c r="AB87" i="15"/>
  <c r="AB89" i="15" s="1"/>
  <c r="AB90" i="15" s="1"/>
  <c r="R66" i="15"/>
  <c r="Q111" i="15"/>
  <c r="Q48" i="15"/>
  <c r="W246" i="16" l="1"/>
  <c r="Z246" i="16"/>
  <c r="F7" i="16"/>
  <c r="AA246" i="16"/>
  <c r="J7" i="16"/>
  <c r="E90" i="16"/>
  <c r="I7" i="16"/>
  <c r="X246" i="16"/>
  <c r="AC90" i="16"/>
  <c r="AU246" i="16"/>
  <c r="G7" i="16"/>
  <c r="D7" i="16"/>
  <c r="AI98" i="16"/>
  <c r="L7" i="16"/>
  <c r="B241" i="16"/>
  <c r="AD246" i="16"/>
  <c r="AC246" i="16"/>
  <c r="C241" i="16"/>
  <c r="AI87" i="16"/>
  <c r="U246" i="16"/>
  <c r="D90" i="16"/>
  <c r="C7" i="16"/>
  <c r="AH87" i="16"/>
  <c r="D267" i="16"/>
  <c r="F231" i="16"/>
  <c r="E108" i="16"/>
  <c r="E232" i="16"/>
  <c r="AH98" i="16"/>
  <c r="AI89" i="16"/>
  <c r="AH89" i="16"/>
  <c r="B7" i="16"/>
  <c r="T246" i="16"/>
  <c r="H226" i="16"/>
  <c r="A7" i="16" l="1"/>
  <c r="K6" i="16"/>
  <c r="I226" i="16"/>
  <c r="E267" i="16"/>
  <c r="G231" i="16"/>
  <c r="F232" i="16"/>
  <c r="AI90" i="16"/>
  <c r="AH90" i="16"/>
  <c r="F267" i="16" l="1"/>
  <c r="H231" i="16"/>
  <c r="G232" i="16"/>
  <c r="J226" i="16"/>
  <c r="K226" i="16" l="1"/>
  <c r="G267" i="16"/>
  <c r="I231" i="16"/>
  <c r="H232" i="16"/>
  <c r="L226" i="16" l="1"/>
  <c r="H267" i="16"/>
  <c r="J231" i="16"/>
  <c r="K231" i="16" l="1"/>
  <c r="I267" i="16"/>
  <c r="M226" i="16"/>
  <c r="N226" i="16" l="1"/>
  <c r="J267" i="16"/>
  <c r="L231" i="16"/>
  <c r="AF271" i="15"/>
  <c r="AE271" i="15"/>
  <c r="AD271" i="15"/>
  <c r="AC271" i="15"/>
  <c r="AB271" i="15"/>
  <c r="AA271" i="15"/>
  <c r="Z271" i="15"/>
  <c r="Y271" i="15"/>
  <c r="X271" i="15"/>
  <c r="W271" i="15"/>
  <c r="V271" i="15"/>
  <c r="U271" i="15"/>
  <c r="T271" i="15"/>
  <c r="S271" i="15"/>
  <c r="R271" i="15"/>
  <c r="Q271" i="15"/>
  <c r="P271" i="15"/>
  <c r="O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AF270" i="15"/>
  <c r="AE270" i="15"/>
  <c r="AD270" i="15"/>
  <c r="AC270" i="15"/>
  <c r="AB270" i="15"/>
  <c r="AA270" i="15"/>
  <c r="Z270" i="15"/>
  <c r="Y270" i="15"/>
  <c r="X270" i="15"/>
  <c r="W270" i="15"/>
  <c r="V270" i="15"/>
  <c r="U270" i="15"/>
  <c r="T270" i="15"/>
  <c r="S270" i="15"/>
  <c r="R270" i="15"/>
  <c r="Q270" i="15"/>
  <c r="P270" i="15"/>
  <c r="O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AF269" i="15"/>
  <c r="AE269" i="15"/>
  <c r="AD269" i="15"/>
  <c r="AC269" i="15"/>
  <c r="AB269" i="15"/>
  <c r="AA269" i="15"/>
  <c r="Z269" i="15"/>
  <c r="Y269" i="15"/>
  <c r="X269" i="15"/>
  <c r="W269" i="15"/>
  <c r="V269" i="15"/>
  <c r="U269" i="15"/>
  <c r="T269" i="15"/>
  <c r="S269" i="15"/>
  <c r="R269" i="15"/>
  <c r="Q269" i="15"/>
  <c r="P269" i="15"/>
  <c r="O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AF268" i="15"/>
  <c r="AE268" i="15"/>
  <c r="AD268" i="15"/>
  <c r="AC268" i="15"/>
  <c r="AB268" i="15"/>
  <c r="AA268" i="15"/>
  <c r="Z268" i="15"/>
  <c r="Y268" i="15"/>
  <c r="X268" i="15"/>
  <c r="W268" i="15"/>
  <c r="V268" i="15"/>
  <c r="U268" i="15"/>
  <c r="T268" i="15"/>
  <c r="S268" i="15"/>
  <c r="R268" i="15"/>
  <c r="Q268" i="15"/>
  <c r="P268" i="15"/>
  <c r="O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AE267" i="15"/>
  <c r="AD267" i="15"/>
  <c r="AC267" i="15"/>
  <c r="AB267" i="15"/>
  <c r="AA267" i="15"/>
  <c r="Z267" i="15"/>
  <c r="Y267" i="15"/>
  <c r="X267" i="15"/>
  <c r="W267" i="15"/>
  <c r="V267" i="15"/>
  <c r="U267" i="15"/>
  <c r="T267" i="15"/>
  <c r="S267" i="15"/>
  <c r="R267" i="15"/>
  <c r="Q267" i="15"/>
  <c r="P267" i="15"/>
  <c r="D267" i="15"/>
  <c r="C267" i="15"/>
  <c r="B267" i="15"/>
  <c r="S242" i="15"/>
  <c r="AG232" i="15"/>
  <c r="AF232" i="15"/>
  <c r="AE232" i="15"/>
  <c r="AD232" i="15"/>
  <c r="AC232" i="15"/>
  <c r="AB232" i="15"/>
  <c r="AA232" i="15"/>
  <c r="Z232" i="15"/>
  <c r="Y232" i="15"/>
  <c r="X232" i="15"/>
  <c r="W232" i="15"/>
  <c r="V232" i="15"/>
  <c r="U232" i="15"/>
  <c r="T232" i="15"/>
  <c r="S232" i="15"/>
  <c r="R232" i="15"/>
  <c r="Q232" i="15"/>
  <c r="D232" i="15"/>
  <c r="C232" i="15"/>
  <c r="E231" i="15"/>
  <c r="F231" i="15" s="1"/>
  <c r="D231" i="15"/>
  <c r="B231" i="15"/>
  <c r="AF267" i="15" s="1"/>
  <c r="E230" i="15"/>
  <c r="F230" i="15" s="1"/>
  <c r="G230" i="15" s="1"/>
  <c r="H230" i="15" s="1"/>
  <c r="I230" i="15" s="1"/>
  <c r="J230" i="15" s="1"/>
  <c r="K230" i="15" s="1"/>
  <c r="L230" i="15" s="1"/>
  <c r="M230" i="15" s="1"/>
  <c r="N230" i="15" s="1"/>
  <c r="O230" i="15" s="1"/>
  <c r="P230" i="15" s="1"/>
  <c r="D230" i="15"/>
  <c r="B230" i="15"/>
  <c r="E229" i="15"/>
  <c r="F229" i="15" s="1"/>
  <c r="G229" i="15" s="1"/>
  <c r="H229" i="15" s="1"/>
  <c r="I229" i="15" s="1"/>
  <c r="D229" i="15"/>
  <c r="B229" i="15"/>
  <c r="E228" i="15"/>
  <c r="F228" i="15" s="1"/>
  <c r="G228" i="15" s="1"/>
  <c r="H228" i="15" s="1"/>
  <c r="D228" i="15"/>
  <c r="B228" i="15"/>
  <c r="E227" i="15"/>
  <c r="F227" i="15" s="1"/>
  <c r="G227" i="15" s="1"/>
  <c r="H227" i="15" s="1"/>
  <c r="I227" i="15" s="1"/>
  <c r="J227" i="15" s="1"/>
  <c r="K227" i="15" s="1"/>
  <c r="L227" i="15" s="1"/>
  <c r="M227" i="15" s="1"/>
  <c r="N227" i="15" s="1"/>
  <c r="O227" i="15" s="1"/>
  <c r="P227" i="15" s="1"/>
  <c r="D227" i="15"/>
  <c r="B227" i="15"/>
  <c r="E226" i="15"/>
  <c r="F226" i="15" s="1"/>
  <c r="D226" i="15"/>
  <c r="B226" i="15"/>
  <c r="B232" i="15" s="1"/>
  <c r="AG224" i="15"/>
  <c r="AF224" i="15"/>
  <c r="AE224" i="15"/>
  <c r="AD224" i="15"/>
  <c r="AC224" i="15"/>
  <c r="AB224" i="15"/>
  <c r="AA224" i="15"/>
  <c r="Z224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I117" i="15"/>
  <c r="AH117" i="15"/>
  <c r="AI116" i="15"/>
  <c r="AH116" i="15"/>
  <c r="AI115" i="15"/>
  <c r="AH115" i="15"/>
  <c r="AI114" i="15"/>
  <c r="AH114" i="15"/>
  <c r="AI113" i="15"/>
  <c r="AH113" i="15"/>
  <c r="AI112" i="15"/>
  <c r="AH112" i="15"/>
  <c r="AI111" i="15"/>
  <c r="AH111" i="15"/>
  <c r="AI110" i="15"/>
  <c r="AH110" i="15"/>
  <c r="AI109" i="15"/>
  <c r="AH109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D108" i="15"/>
  <c r="C108" i="15"/>
  <c r="B108" i="15"/>
  <c r="AI107" i="15"/>
  <c r="AH107" i="15"/>
  <c r="AI106" i="15"/>
  <c r="AH106" i="15"/>
  <c r="AI105" i="15"/>
  <c r="AH105" i="15"/>
  <c r="AI104" i="15"/>
  <c r="AH104" i="15"/>
  <c r="AI103" i="15"/>
  <c r="AH103" i="15"/>
  <c r="AI102" i="15"/>
  <c r="AH102" i="15"/>
  <c r="AI101" i="15"/>
  <c r="AH101" i="15"/>
  <c r="AI100" i="15"/>
  <c r="AH100" i="15"/>
  <c r="AI99" i="15"/>
  <c r="AH99" i="15"/>
  <c r="AI97" i="15"/>
  <c r="AH97" i="15"/>
  <c r="AI96" i="15"/>
  <c r="AH96" i="15"/>
  <c r="AI95" i="15"/>
  <c r="AH95" i="15"/>
  <c r="AI94" i="15"/>
  <c r="AH94" i="15"/>
  <c r="AI93" i="15"/>
  <c r="AH93" i="15"/>
  <c r="AI92" i="15"/>
  <c r="AH92" i="15"/>
  <c r="AI91" i="15"/>
  <c r="AH91" i="15"/>
  <c r="AI88" i="15"/>
  <c r="AH88" i="15"/>
  <c r="AI86" i="15"/>
  <c r="AH86" i="15"/>
  <c r="AG86" i="15"/>
  <c r="AI85" i="15"/>
  <c r="AH85" i="15"/>
  <c r="AI84" i="15"/>
  <c r="AH84" i="15"/>
  <c r="AI83" i="15"/>
  <c r="AH83" i="15"/>
  <c r="AN82" i="15"/>
  <c r="AG82" i="15"/>
  <c r="AF82" i="15"/>
  <c r="AF98" i="15" s="1"/>
  <c r="AE82" i="15"/>
  <c r="AE98" i="15" s="1"/>
  <c r="AD82" i="15"/>
  <c r="AD98" i="15" s="1"/>
  <c r="AC82" i="15"/>
  <c r="AC98" i="15" s="1"/>
  <c r="AB98" i="15"/>
  <c r="AA82" i="15"/>
  <c r="AA98" i="15" s="1"/>
  <c r="Z82" i="15"/>
  <c r="Z98" i="15" s="1"/>
  <c r="Y82" i="15"/>
  <c r="Y98" i="15" s="1"/>
  <c r="X82" i="15"/>
  <c r="X98" i="15" s="1"/>
  <c r="W82" i="15"/>
  <c r="W98" i="15" s="1"/>
  <c r="V82" i="15"/>
  <c r="V98" i="15" s="1"/>
  <c r="U82" i="15"/>
  <c r="U98" i="15" s="1"/>
  <c r="T82" i="15"/>
  <c r="T98" i="15" s="1"/>
  <c r="S82" i="15"/>
  <c r="S98" i="15" s="1"/>
  <c r="R82" i="15"/>
  <c r="R98" i="15" s="1"/>
  <c r="Q82" i="15"/>
  <c r="Q98" i="15" s="1"/>
  <c r="P82" i="15"/>
  <c r="P98" i="15" s="1"/>
  <c r="O82" i="15"/>
  <c r="O98" i="15" s="1"/>
  <c r="N82" i="15"/>
  <c r="N98" i="15" s="1"/>
  <c r="M82" i="15"/>
  <c r="M98" i="15" s="1"/>
  <c r="L82" i="15"/>
  <c r="L98" i="15" s="1"/>
  <c r="K82" i="15"/>
  <c r="K98" i="15" s="1"/>
  <c r="J82" i="15"/>
  <c r="J98" i="15" s="1"/>
  <c r="I82" i="15"/>
  <c r="I98" i="15" s="1"/>
  <c r="H82" i="15"/>
  <c r="H98" i="15" s="1"/>
  <c r="G82" i="15"/>
  <c r="G98" i="15" s="1"/>
  <c r="F82" i="15"/>
  <c r="F98" i="15" s="1"/>
  <c r="E82" i="15"/>
  <c r="E98" i="15" s="1"/>
  <c r="D82" i="15"/>
  <c r="D98" i="15" s="1"/>
  <c r="C82" i="15"/>
  <c r="C98" i="15" s="1"/>
  <c r="B82" i="15"/>
  <c r="AF5" i="15" s="1"/>
  <c r="AI81" i="15"/>
  <c r="AH81" i="15"/>
  <c r="AN80" i="15"/>
  <c r="AI80" i="15"/>
  <c r="AH80" i="15"/>
  <c r="AN79" i="15"/>
  <c r="AN81" i="15" s="1"/>
  <c r="AI79" i="15"/>
  <c r="AH79" i="15"/>
  <c r="AI78" i="15"/>
  <c r="AH78" i="15"/>
  <c r="AI77" i="15"/>
  <c r="AH77" i="15"/>
  <c r="AI76" i="15"/>
  <c r="AH76" i="15"/>
  <c r="AI75" i="15"/>
  <c r="AH75" i="15"/>
  <c r="AI74" i="15"/>
  <c r="AH74" i="15"/>
  <c r="AI73" i="15"/>
  <c r="AH73" i="15"/>
  <c r="AI72" i="15"/>
  <c r="AH72" i="15"/>
  <c r="AI71" i="15"/>
  <c r="AH71" i="15"/>
  <c r="AG70" i="15"/>
  <c r="AF70" i="15"/>
  <c r="AE70" i="15"/>
  <c r="AD70" i="15"/>
  <c r="AC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B70" i="15"/>
  <c r="AI69" i="15"/>
  <c r="AH69" i="15"/>
  <c r="AI68" i="15"/>
  <c r="AH68" i="15"/>
  <c r="AI67" i="15"/>
  <c r="AH67" i="15"/>
  <c r="AF66" i="15"/>
  <c r="AE66" i="15"/>
  <c r="AD66" i="15"/>
  <c r="AC66" i="15"/>
  <c r="AA66" i="15"/>
  <c r="Z66" i="15"/>
  <c r="Y66" i="15"/>
  <c r="X66" i="15"/>
  <c r="W66" i="15"/>
  <c r="V66" i="15"/>
  <c r="U66" i="15"/>
  <c r="T66" i="15"/>
  <c r="S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I65" i="15"/>
  <c r="AH65" i="15"/>
  <c r="AG65" i="15"/>
  <c r="AG66" i="15" s="1"/>
  <c r="AG3" i="15" s="1"/>
  <c r="AI64" i="15"/>
  <c r="AH64" i="15"/>
  <c r="AI63" i="15"/>
  <c r="AH63" i="15"/>
  <c r="AI62" i="15"/>
  <c r="AH62" i="15"/>
  <c r="AI61" i="15"/>
  <c r="AH61" i="15"/>
  <c r="AI60" i="15"/>
  <c r="AH60" i="15"/>
  <c r="AI59" i="15"/>
  <c r="AH59" i="15"/>
  <c r="AI58" i="15"/>
  <c r="AH58" i="15"/>
  <c r="AI57" i="15"/>
  <c r="AH57" i="15"/>
  <c r="AI56" i="15"/>
  <c r="AH56" i="15"/>
  <c r="AI55" i="15"/>
  <c r="AH55" i="15"/>
  <c r="AI54" i="15"/>
  <c r="AH54" i="15"/>
  <c r="AI53" i="15"/>
  <c r="AH53" i="15"/>
  <c r="AG52" i="15"/>
  <c r="AF52" i="15"/>
  <c r="AE52" i="15"/>
  <c r="AD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I51" i="15"/>
  <c r="AH51" i="15"/>
  <c r="AI50" i="15"/>
  <c r="AH50" i="15"/>
  <c r="AI49" i="15"/>
  <c r="AH49" i="15"/>
  <c r="AG48" i="15"/>
  <c r="AF48" i="15"/>
  <c r="AE48" i="15"/>
  <c r="AD48" i="15"/>
  <c r="AA48" i="15"/>
  <c r="Z48" i="15"/>
  <c r="Z87" i="15" s="1"/>
  <c r="Z89" i="15" s="1"/>
  <c r="Y48" i="15"/>
  <c r="X48" i="15"/>
  <c r="W48" i="15"/>
  <c r="V48" i="15"/>
  <c r="U48" i="15"/>
  <c r="T48" i="15"/>
  <c r="S48" i="15"/>
  <c r="R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I47" i="15"/>
  <c r="AH47" i="15"/>
  <c r="AI46" i="15"/>
  <c r="AH46" i="15"/>
  <c r="AI45" i="15"/>
  <c r="AH45" i="15"/>
  <c r="AI44" i="15"/>
  <c r="AH44" i="15"/>
  <c r="AI43" i="15"/>
  <c r="AH43" i="15"/>
  <c r="AI42" i="15"/>
  <c r="AH42" i="15"/>
  <c r="AI41" i="15"/>
  <c r="AH41" i="15"/>
  <c r="AI40" i="15"/>
  <c r="AH40" i="15"/>
  <c r="AI39" i="15"/>
  <c r="AH39" i="15"/>
  <c r="AI38" i="15"/>
  <c r="AH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AA5" i="15"/>
  <c r="O5" i="15"/>
  <c r="AG4" i="15"/>
  <c r="K4" i="15"/>
  <c r="E4" i="15"/>
  <c r="H4" i="15" s="1"/>
  <c r="B4" i="15"/>
  <c r="S243" i="15" s="1"/>
  <c r="AF48" i="14"/>
  <c r="AF52" i="14"/>
  <c r="AF66" i="14"/>
  <c r="AF70" i="14"/>
  <c r="AF82" i="14"/>
  <c r="AF98" i="14" s="1"/>
  <c r="AF108" i="14"/>
  <c r="AD111" i="14"/>
  <c r="AC111" i="14"/>
  <c r="Y111" i="14"/>
  <c r="X108" i="14"/>
  <c r="X111" i="14"/>
  <c r="X48" i="14"/>
  <c r="X52" i="14"/>
  <c r="X66" i="14"/>
  <c r="X70" i="14"/>
  <c r="X82" i="14"/>
  <c r="W111" i="14"/>
  <c r="W48" i="14"/>
  <c r="W52" i="14"/>
  <c r="W66" i="14"/>
  <c r="W70" i="14"/>
  <c r="W82" i="14"/>
  <c r="V111" i="14"/>
  <c r="V48" i="14"/>
  <c r="V52" i="14"/>
  <c r="V66" i="14"/>
  <c r="V70" i="14"/>
  <c r="V82" i="14"/>
  <c r="T111" i="14"/>
  <c r="T48" i="14"/>
  <c r="K267" i="16" l="1"/>
  <c r="M231" i="16"/>
  <c r="O226" i="16"/>
  <c r="AF87" i="15"/>
  <c r="AF89" i="15" s="1"/>
  <c r="AF90" i="15" s="1"/>
  <c r="AD5" i="15"/>
  <c r="AE87" i="15"/>
  <c r="AE89" i="15" s="1"/>
  <c r="AC5" i="15"/>
  <c r="AE5" i="15"/>
  <c r="AD87" i="15"/>
  <c r="AD89" i="15" s="1"/>
  <c r="AD90" i="15" s="1"/>
  <c r="AB5" i="15"/>
  <c r="AC87" i="15"/>
  <c r="AC89" i="15" s="1"/>
  <c r="AC90" i="15" s="1"/>
  <c r="Z5" i="15"/>
  <c r="AA87" i="15"/>
  <c r="AA89" i="15" s="1"/>
  <c r="X5" i="15"/>
  <c r="Y87" i="15"/>
  <c r="Y89" i="15" s="1"/>
  <c r="AQ246" i="15" s="1"/>
  <c r="W5" i="15"/>
  <c r="X87" i="15"/>
  <c r="X89" i="15" s="1"/>
  <c r="V5" i="15"/>
  <c r="W87" i="15"/>
  <c r="W89" i="15" s="1"/>
  <c r="AO246" i="15" s="1"/>
  <c r="U5" i="15"/>
  <c r="V87" i="15"/>
  <c r="V89" i="15" s="1"/>
  <c r="AN246" i="15" s="1"/>
  <c r="T5" i="15"/>
  <c r="U87" i="15"/>
  <c r="U89" i="15" s="1"/>
  <c r="S5" i="15"/>
  <c r="T87" i="15"/>
  <c r="T89" i="15" s="1"/>
  <c r="T90" i="15" s="1"/>
  <c r="R5" i="15"/>
  <c r="S87" i="15"/>
  <c r="S89" i="15" s="1"/>
  <c r="S7" i="15" s="1"/>
  <c r="R87" i="15"/>
  <c r="R89" i="15" s="1"/>
  <c r="Q87" i="15"/>
  <c r="Q89" i="15" s="1"/>
  <c r="P5" i="15"/>
  <c r="P87" i="15"/>
  <c r="P89" i="15" s="1"/>
  <c r="P90" i="15" s="1"/>
  <c r="O87" i="15"/>
  <c r="O89" i="15" s="1"/>
  <c r="N5" i="15"/>
  <c r="N87" i="15"/>
  <c r="N89" i="15" s="1"/>
  <c r="M5" i="15"/>
  <c r="L5" i="15"/>
  <c r="AI70" i="15"/>
  <c r="M87" i="15"/>
  <c r="M89" i="15" s="1"/>
  <c r="M90" i="15" s="1"/>
  <c r="K5" i="15"/>
  <c r="L87" i="15"/>
  <c r="L89" i="15" s="1"/>
  <c r="L90" i="15" s="1"/>
  <c r="J5" i="15"/>
  <c r="K87" i="15"/>
  <c r="K89" i="15" s="1"/>
  <c r="K90" i="15" s="1"/>
  <c r="J87" i="15"/>
  <c r="J89" i="15" s="1"/>
  <c r="J90" i="15" s="1"/>
  <c r="H5" i="15"/>
  <c r="I87" i="15"/>
  <c r="I89" i="15" s="1"/>
  <c r="I90" i="15" s="1"/>
  <c r="G5" i="15"/>
  <c r="H87" i="15"/>
  <c r="H89" i="15" s="1"/>
  <c r="H7" i="15" s="1"/>
  <c r="F5" i="15"/>
  <c r="G87" i="15"/>
  <c r="G89" i="15" s="1"/>
  <c r="G7" i="15" s="1"/>
  <c r="E5" i="15"/>
  <c r="F87" i="15"/>
  <c r="F89" i="15" s="1"/>
  <c r="F7" i="15" s="1"/>
  <c r="E87" i="15"/>
  <c r="E89" i="15" s="1"/>
  <c r="E7" i="15" s="1"/>
  <c r="D5" i="15"/>
  <c r="D87" i="15"/>
  <c r="D89" i="15" s="1"/>
  <c r="D90" i="15" s="1"/>
  <c r="C5" i="15"/>
  <c r="AI52" i="15"/>
  <c r="B5" i="15"/>
  <c r="AI66" i="15"/>
  <c r="C87" i="15"/>
  <c r="C89" i="15" s="1"/>
  <c r="U246" i="15" s="1"/>
  <c r="B87" i="15"/>
  <c r="AF7" i="15"/>
  <c r="AX246" i="15"/>
  <c r="G231" i="15"/>
  <c r="E267" i="15"/>
  <c r="AA246" i="15"/>
  <c r="Q90" i="15"/>
  <c r="Q7" i="15"/>
  <c r="AI246" i="15"/>
  <c r="AG87" i="15"/>
  <c r="G226" i="15"/>
  <c r="F232" i="15"/>
  <c r="F108" i="15"/>
  <c r="V7" i="15"/>
  <c r="P7" i="15"/>
  <c r="AH246" i="15"/>
  <c r="Z90" i="15"/>
  <c r="Z7" i="15"/>
  <c r="AR246" i="15"/>
  <c r="AA90" i="15"/>
  <c r="AS246" i="15"/>
  <c r="AA7" i="15"/>
  <c r="AB7" i="15"/>
  <c r="AT246" i="15"/>
  <c r="R90" i="15"/>
  <c r="AJ246" i="15"/>
  <c r="R7" i="15"/>
  <c r="W246" i="15"/>
  <c r="E90" i="15"/>
  <c r="U7" i="15"/>
  <c r="AM246" i="15"/>
  <c r="U90" i="15"/>
  <c r="H90" i="15"/>
  <c r="J7" i="15"/>
  <c r="AB246" i="15"/>
  <c r="M7" i="15"/>
  <c r="AE246" i="15"/>
  <c r="AG89" i="15"/>
  <c r="X90" i="15"/>
  <c r="X7" i="15"/>
  <c r="AP246" i="15"/>
  <c r="N7" i="15"/>
  <c r="AF246" i="15"/>
  <c r="N90" i="15"/>
  <c r="J229" i="15"/>
  <c r="K229" i="15" s="1"/>
  <c r="L229" i="15" s="1"/>
  <c r="M229" i="15" s="1"/>
  <c r="N229" i="15" s="1"/>
  <c r="O229" i="15" s="1"/>
  <c r="P229" i="15" s="1"/>
  <c r="S90" i="15"/>
  <c r="Y246" i="15"/>
  <c r="G90" i="15"/>
  <c r="AG246" i="15"/>
  <c r="O90" i="15"/>
  <c r="O7" i="15"/>
  <c r="AW246" i="15"/>
  <c r="AE90" i="15"/>
  <c r="AE7" i="15"/>
  <c r="I5" i="15"/>
  <c r="Q5" i="15"/>
  <c r="Y5" i="15"/>
  <c r="AH70" i="15"/>
  <c r="E232" i="15"/>
  <c r="D243" i="15"/>
  <c r="AH66" i="15"/>
  <c r="AG2" i="15"/>
  <c r="AG6" i="15" s="1"/>
  <c r="E108" i="15"/>
  <c r="AH48" i="15"/>
  <c r="AH52" i="15"/>
  <c r="AI82" i="15"/>
  <c r="B98" i="15"/>
  <c r="AI48" i="15"/>
  <c r="AH82" i="15"/>
  <c r="AF87" i="14"/>
  <c r="AF89" i="14" s="1"/>
  <c r="AF90" i="14" s="1"/>
  <c r="X87" i="14"/>
  <c r="X89" i="14" s="1"/>
  <c r="X90" i="14" s="1"/>
  <c r="L267" i="16" l="1"/>
  <c r="N231" i="16"/>
  <c r="M108" i="16"/>
  <c r="P226" i="16"/>
  <c r="AV246" i="15"/>
  <c r="AD7" i="15"/>
  <c r="AU246" i="15"/>
  <c r="AC7" i="15"/>
  <c r="Y7" i="15"/>
  <c r="Y90" i="15"/>
  <c r="W90" i="15"/>
  <c r="W7" i="15"/>
  <c r="V90" i="15"/>
  <c r="AL246" i="15"/>
  <c r="T7" i="15"/>
  <c r="AK246" i="15"/>
  <c r="AD246" i="15"/>
  <c r="L7" i="15"/>
  <c r="AC246" i="15"/>
  <c r="K7" i="15"/>
  <c r="I7" i="15"/>
  <c r="B241" i="15"/>
  <c r="C241" i="15"/>
  <c r="Z246" i="15"/>
  <c r="D7" i="15"/>
  <c r="X246" i="15"/>
  <c r="F90" i="15"/>
  <c r="V246" i="15"/>
  <c r="C90" i="15"/>
  <c r="C7" i="15"/>
  <c r="AH87" i="15"/>
  <c r="AI87" i="15"/>
  <c r="B89" i="15"/>
  <c r="B7" i="15" s="1"/>
  <c r="AH89" i="15"/>
  <c r="B90" i="15"/>
  <c r="AI89" i="15"/>
  <c r="T246" i="15"/>
  <c r="AI98" i="15"/>
  <c r="AH98" i="15"/>
  <c r="F267" i="15"/>
  <c r="H231" i="15"/>
  <c r="H226" i="15"/>
  <c r="G108" i="15"/>
  <c r="G232" i="15"/>
  <c r="M267" i="16" l="1"/>
  <c r="O231" i="16"/>
  <c r="N108" i="16"/>
  <c r="K6" i="15"/>
  <c r="A7" i="15"/>
  <c r="I226" i="15"/>
  <c r="H232" i="15"/>
  <c r="H108" i="15"/>
  <c r="AI90" i="15"/>
  <c r="AH90" i="15"/>
  <c r="G267" i="15"/>
  <c r="I231" i="15"/>
  <c r="N267" i="16" l="1"/>
  <c r="P231" i="16"/>
  <c r="O267" i="16" s="1"/>
  <c r="O108" i="16"/>
  <c r="H267" i="15"/>
  <c r="J231" i="15"/>
  <c r="I108" i="15"/>
  <c r="J226" i="15"/>
  <c r="AI108" i="16" l="1"/>
  <c r="AH108" i="16"/>
  <c r="J108" i="15"/>
  <c r="K226" i="15"/>
  <c r="K231" i="15"/>
  <c r="I267" i="15"/>
  <c r="J267" i="15" l="1"/>
  <c r="L231" i="15"/>
  <c r="L226" i="15"/>
  <c r="K108" i="15"/>
  <c r="M226" i="15" l="1"/>
  <c r="L108" i="15"/>
  <c r="K267" i="15"/>
  <c r="M231" i="15"/>
  <c r="L267" i="15" l="1"/>
  <c r="N231" i="15"/>
  <c r="N226" i="15"/>
  <c r="M108" i="15"/>
  <c r="N108" i="15" l="1"/>
  <c r="O226" i="15"/>
  <c r="M267" i="15"/>
  <c r="O231" i="15"/>
  <c r="N267" i="15" l="1"/>
  <c r="P231" i="15"/>
  <c r="O267" i="15" s="1"/>
  <c r="P226" i="15"/>
  <c r="O108" i="15"/>
  <c r="AI108" i="15" l="1"/>
  <c r="AH108" i="15"/>
  <c r="Q111" i="14" l="1"/>
  <c r="M111" i="14" l="1"/>
  <c r="AI68" i="14" l="1"/>
  <c r="B66" i="14"/>
  <c r="C66" i="14"/>
  <c r="D66" i="14"/>
  <c r="B70" i="14"/>
  <c r="C70" i="14"/>
  <c r="D70" i="14"/>
  <c r="F70" i="14"/>
  <c r="G70" i="14"/>
  <c r="H70" i="14"/>
  <c r="I70" i="14"/>
  <c r="J70" i="14"/>
  <c r="K70" i="14"/>
  <c r="L70" i="14"/>
  <c r="B52" i="14"/>
  <c r="B48" i="14"/>
  <c r="B82" i="14"/>
  <c r="B98" i="14" s="1"/>
  <c r="AI77" i="14"/>
  <c r="AF271" i="14"/>
  <c r="AE271" i="14"/>
  <c r="AD271" i="14"/>
  <c r="AC271" i="14"/>
  <c r="AB271" i="14"/>
  <c r="AA271" i="14"/>
  <c r="Z271" i="14"/>
  <c r="Y271" i="14"/>
  <c r="X271" i="14"/>
  <c r="W271" i="14"/>
  <c r="V271" i="14"/>
  <c r="U271" i="14"/>
  <c r="T271" i="14"/>
  <c r="S271" i="14"/>
  <c r="R271" i="14"/>
  <c r="Q271" i="14"/>
  <c r="P271" i="14"/>
  <c r="O271" i="14"/>
  <c r="N271" i="14"/>
  <c r="M271" i="14"/>
  <c r="L271" i="14"/>
  <c r="K271" i="14"/>
  <c r="J271" i="14"/>
  <c r="I271" i="14"/>
  <c r="H271" i="14"/>
  <c r="G271" i="14"/>
  <c r="F271" i="14"/>
  <c r="E271" i="14"/>
  <c r="D271" i="14"/>
  <c r="C271" i="14"/>
  <c r="B271" i="14"/>
  <c r="A271" i="14"/>
  <c r="AF270" i="14"/>
  <c r="AE270" i="14"/>
  <c r="AD270" i="14"/>
  <c r="AC270" i="14"/>
  <c r="AB270" i="14"/>
  <c r="AA270" i="14"/>
  <c r="Z270" i="14"/>
  <c r="Y270" i="14"/>
  <c r="X270" i="14"/>
  <c r="W270" i="14"/>
  <c r="V270" i="14"/>
  <c r="U270" i="14"/>
  <c r="T270" i="14"/>
  <c r="S270" i="14"/>
  <c r="R270" i="14"/>
  <c r="Q270" i="14"/>
  <c r="P270" i="14"/>
  <c r="O270" i="14"/>
  <c r="N270" i="14"/>
  <c r="M270" i="14"/>
  <c r="L270" i="14"/>
  <c r="K270" i="14"/>
  <c r="J270" i="14"/>
  <c r="I270" i="14"/>
  <c r="H270" i="14"/>
  <c r="G270" i="14"/>
  <c r="F270" i="14"/>
  <c r="E270" i="14"/>
  <c r="D270" i="14"/>
  <c r="C270" i="14"/>
  <c r="B270" i="14"/>
  <c r="A270" i="14"/>
  <c r="AF269" i="14"/>
  <c r="AE269" i="14"/>
  <c r="AD269" i="14"/>
  <c r="AC269" i="14"/>
  <c r="AB269" i="14"/>
  <c r="AA269" i="14"/>
  <c r="Z269" i="14"/>
  <c r="Y269" i="14"/>
  <c r="X269" i="14"/>
  <c r="W269" i="14"/>
  <c r="V269" i="14"/>
  <c r="U269" i="14"/>
  <c r="T269" i="14"/>
  <c r="S269" i="14"/>
  <c r="R269" i="14"/>
  <c r="Q269" i="14"/>
  <c r="P269" i="14"/>
  <c r="O269" i="14"/>
  <c r="N269" i="14"/>
  <c r="M269" i="14"/>
  <c r="L269" i="14"/>
  <c r="K269" i="14"/>
  <c r="J269" i="14"/>
  <c r="I269" i="14"/>
  <c r="H269" i="14"/>
  <c r="G269" i="14"/>
  <c r="F269" i="14"/>
  <c r="E269" i="14"/>
  <c r="D269" i="14"/>
  <c r="C269" i="14"/>
  <c r="B269" i="14"/>
  <c r="A269" i="14"/>
  <c r="AF268" i="14"/>
  <c r="AE268" i="14"/>
  <c r="AD268" i="14"/>
  <c r="AC268" i="14"/>
  <c r="AB268" i="14"/>
  <c r="AA268" i="14"/>
  <c r="Z268" i="14"/>
  <c r="Y268" i="14"/>
  <c r="X268" i="14"/>
  <c r="W268" i="14"/>
  <c r="V268" i="14"/>
  <c r="U268" i="14"/>
  <c r="T268" i="14"/>
  <c r="S268" i="14"/>
  <c r="R268" i="14"/>
  <c r="Q268" i="14"/>
  <c r="P268" i="14"/>
  <c r="O268" i="14"/>
  <c r="N268" i="14"/>
  <c r="M268" i="14"/>
  <c r="L268" i="14"/>
  <c r="K268" i="14"/>
  <c r="J268" i="14"/>
  <c r="I268" i="14"/>
  <c r="H268" i="14"/>
  <c r="G268" i="14"/>
  <c r="F268" i="14"/>
  <c r="E268" i="14"/>
  <c r="D268" i="14"/>
  <c r="C268" i="14"/>
  <c r="B268" i="14"/>
  <c r="A268" i="14"/>
  <c r="AE267" i="14"/>
  <c r="AD267" i="14"/>
  <c r="AC267" i="14"/>
  <c r="AB267" i="14"/>
  <c r="AA267" i="14"/>
  <c r="Z267" i="14"/>
  <c r="Y267" i="14"/>
  <c r="X267" i="14"/>
  <c r="W267" i="14"/>
  <c r="V267" i="14"/>
  <c r="U267" i="14"/>
  <c r="T267" i="14"/>
  <c r="S267" i="14"/>
  <c r="R267" i="14"/>
  <c r="Q267" i="14"/>
  <c r="P267" i="14"/>
  <c r="B267" i="14"/>
  <c r="S242" i="14"/>
  <c r="AG232" i="14"/>
  <c r="AF232" i="14"/>
  <c r="AE232" i="14"/>
  <c r="AD232" i="14"/>
  <c r="AC232" i="14"/>
  <c r="AB232" i="14"/>
  <c r="AA232" i="14"/>
  <c r="Z232" i="14"/>
  <c r="Y232" i="14"/>
  <c r="X232" i="14"/>
  <c r="W232" i="14"/>
  <c r="V232" i="14"/>
  <c r="U232" i="14"/>
  <c r="T232" i="14"/>
  <c r="S232" i="14"/>
  <c r="R232" i="14"/>
  <c r="Q232" i="14"/>
  <c r="C232" i="14"/>
  <c r="D231" i="14"/>
  <c r="C267" i="14" s="1"/>
  <c r="B231" i="14"/>
  <c r="AF267" i="14" s="1"/>
  <c r="D230" i="14"/>
  <c r="E230" i="14" s="1"/>
  <c r="F230" i="14" s="1"/>
  <c r="G230" i="14" s="1"/>
  <c r="H230" i="14" s="1"/>
  <c r="I230" i="14" s="1"/>
  <c r="J230" i="14" s="1"/>
  <c r="K230" i="14" s="1"/>
  <c r="L230" i="14" s="1"/>
  <c r="M230" i="14" s="1"/>
  <c r="N230" i="14" s="1"/>
  <c r="O230" i="14" s="1"/>
  <c r="P230" i="14" s="1"/>
  <c r="B230" i="14"/>
  <c r="D229" i="14"/>
  <c r="E229" i="14" s="1"/>
  <c r="F229" i="14" s="1"/>
  <c r="G229" i="14" s="1"/>
  <c r="H229" i="14" s="1"/>
  <c r="I229" i="14" s="1"/>
  <c r="B229" i="14"/>
  <c r="D228" i="14"/>
  <c r="E228" i="14" s="1"/>
  <c r="F228" i="14" s="1"/>
  <c r="G228" i="14" s="1"/>
  <c r="H228" i="14" s="1"/>
  <c r="B228" i="14"/>
  <c r="D227" i="14"/>
  <c r="E227" i="14" s="1"/>
  <c r="F227" i="14" s="1"/>
  <c r="G227" i="14" s="1"/>
  <c r="H227" i="14" s="1"/>
  <c r="I227" i="14" s="1"/>
  <c r="J227" i="14" s="1"/>
  <c r="K227" i="14" s="1"/>
  <c r="L227" i="14" s="1"/>
  <c r="M227" i="14" s="1"/>
  <c r="N227" i="14" s="1"/>
  <c r="O227" i="14" s="1"/>
  <c r="P227" i="14" s="1"/>
  <c r="B227" i="14"/>
  <c r="D226" i="14"/>
  <c r="D232" i="14" s="1"/>
  <c r="B226" i="14"/>
  <c r="B232" i="14" s="1"/>
  <c r="AG224" i="14"/>
  <c r="AF224" i="14"/>
  <c r="AE224" i="14"/>
  <c r="AD224" i="14"/>
  <c r="AC224" i="14"/>
  <c r="AB224" i="14"/>
  <c r="AA224" i="14"/>
  <c r="Z224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AI117" i="14"/>
  <c r="AH117" i="14"/>
  <c r="AI116" i="14"/>
  <c r="AH116" i="14"/>
  <c r="AI115" i="14"/>
  <c r="AH115" i="14"/>
  <c r="AI114" i="14"/>
  <c r="AH114" i="14"/>
  <c r="AI113" i="14"/>
  <c r="AH113" i="14"/>
  <c r="AI112" i="14"/>
  <c r="AH112" i="14"/>
  <c r="AI111" i="14"/>
  <c r="AH111" i="14"/>
  <c r="AI110" i="14"/>
  <c r="AH110" i="14"/>
  <c r="AI109" i="14"/>
  <c r="AH109" i="14"/>
  <c r="AE108" i="14"/>
  <c r="AD108" i="14"/>
  <c r="AC108" i="14"/>
  <c r="AB108" i="14"/>
  <c r="AA108" i="14"/>
  <c r="Y108" i="14"/>
  <c r="W108" i="14"/>
  <c r="V108" i="14"/>
  <c r="U108" i="14"/>
  <c r="T108" i="14"/>
  <c r="S108" i="14"/>
  <c r="R108" i="14"/>
  <c r="Q108" i="14"/>
  <c r="D108" i="14"/>
  <c r="C108" i="14"/>
  <c r="AI107" i="14"/>
  <c r="AH107" i="14"/>
  <c r="AI106" i="14"/>
  <c r="AH106" i="14"/>
  <c r="AI105" i="14"/>
  <c r="AH105" i="14"/>
  <c r="AI104" i="14"/>
  <c r="AH104" i="14"/>
  <c r="AI103" i="14"/>
  <c r="AH103" i="14"/>
  <c r="AI102" i="14"/>
  <c r="AH102" i="14"/>
  <c r="AI101" i="14"/>
  <c r="AH101" i="14"/>
  <c r="AI100" i="14"/>
  <c r="AH100" i="14"/>
  <c r="AI99" i="14"/>
  <c r="AH99" i="14"/>
  <c r="AI97" i="14"/>
  <c r="AH97" i="14"/>
  <c r="AI96" i="14"/>
  <c r="AH96" i="14"/>
  <c r="AI95" i="14"/>
  <c r="AH95" i="14"/>
  <c r="AI94" i="14"/>
  <c r="AH94" i="14"/>
  <c r="AI93" i="14"/>
  <c r="AH93" i="14"/>
  <c r="AI92" i="14"/>
  <c r="AH92" i="14"/>
  <c r="AI91" i="14"/>
  <c r="AH91" i="14"/>
  <c r="AI88" i="14"/>
  <c r="AH88" i="14"/>
  <c r="AI86" i="14"/>
  <c r="AH86" i="14"/>
  <c r="AG86" i="14"/>
  <c r="AG89" i="14" s="1"/>
  <c r="AI85" i="14"/>
  <c r="AH85" i="14"/>
  <c r="AI84" i="14"/>
  <c r="AH84" i="14"/>
  <c r="AI83" i="14"/>
  <c r="AH83" i="14"/>
  <c r="AN82" i="14"/>
  <c r="AG82" i="14"/>
  <c r="AE82" i="14"/>
  <c r="AE98" i="14" s="1"/>
  <c r="AD82" i="14"/>
  <c r="AD98" i="14" s="1"/>
  <c r="AC82" i="14"/>
  <c r="AC98" i="14" s="1"/>
  <c r="AB82" i="14"/>
  <c r="AB98" i="14" s="1"/>
  <c r="AA82" i="14"/>
  <c r="AA98" i="14" s="1"/>
  <c r="Y82" i="14"/>
  <c r="Y98" i="14" s="1"/>
  <c r="X98" i="14"/>
  <c r="W98" i="14"/>
  <c r="V98" i="14"/>
  <c r="U82" i="14"/>
  <c r="U98" i="14" s="1"/>
  <c r="T82" i="14"/>
  <c r="T98" i="14" s="1"/>
  <c r="S82" i="14"/>
  <c r="S98" i="14" s="1"/>
  <c r="R82" i="14"/>
  <c r="R98" i="14" s="1"/>
  <c r="Q82" i="14"/>
  <c r="Q98" i="14" s="1"/>
  <c r="P82" i="14"/>
  <c r="P98" i="14" s="1"/>
  <c r="O82" i="14"/>
  <c r="O98" i="14" s="1"/>
  <c r="N82" i="14"/>
  <c r="N98" i="14" s="1"/>
  <c r="M82" i="14"/>
  <c r="M98" i="14" s="1"/>
  <c r="L82" i="14"/>
  <c r="L98" i="14" s="1"/>
  <c r="K82" i="14"/>
  <c r="K98" i="14" s="1"/>
  <c r="J82" i="14"/>
  <c r="J98" i="14" s="1"/>
  <c r="I82" i="14"/>
  <c r="I98" i="14" s="1"/>
  <c r="H82" i="14"/>
  <c r="H98" i="14" s="1"/>
  <c r="G82" i="14"/>
  <c r="G98" i="14" s="1"/>
  <c r="F82" i="14"/>
  <c r="F98" i="14" s="1"/>
  <c r="E82" i="14"/>
  <c r="E98" i="14" s="1"/>
  <c r="D82" i="14"/>
  <c r="D98" i="14" s="1"/>
  <c r="C82" i="14"/>
  <c r="C98" i="14" s="1"/>
  <c r="AI81" i="14"/>
  <c r="AH81" i="14"/>
  <c r="AN80" i="14"/>
  <c r="AI80" i="14"/>
  <c r="AH80" i="14"/>
  <c r="AN79" i="14"/>
  <c r="AN81" i="14" s="1"/>
  <c r="AI79" i="14"/>
  <c r="AH79" i="14"/>
  <c r="AI78" i="14"/>
  <c r="AH78" i="14"/>
  <c r="AH77" i="14"/>
  <c r="AI76" i="14"/>
  <c r="AH76" i="14"/>
  <c r="AI75" i="14"/>
  <c r="AH75" i="14"/>
  <c r="AI74" i="14"/>
  <c r="AH74" i="14"/>
  <c r="AI73" i="14"/>
  <c r="AH73" i="14"/>
  <c r="AI72" i="14"/>
  <c r="AH72" i="14"/>
  <c r="AI71" i="14"/>
  <c r="AH71" i="14"/>
  <c r="AG70" i="14"/>
  <c r="AE70" i="14"/>
  <c r="AD70" i="14"/>
  <c r="AC70" i="14"/>
  <c r="AB70" i="14"/>
  <c r="AA70" i="14"/>
  <c r="Y70" i="14"/>
  <c r="U70" i="14"/>
  <c r="T70" i="14"/>
  <c r="S70" i="14"/>
  <c r="R70" i="14"/>
  <c r="Q70" i="14"/>
  <c r="P70" i="14"/>
  <c r="O70" i="14"/>
  <c r="N70" i="14"/>
  <c r="M70" i="14"/>
  <c r="AI69" i="14"/>
  <c r="AH69" i="14"/>
  <c r="AH68" i="14"/>
  <c r="AI67" i="14"/>
  <c r="AH67" i="14"/>
  <c r="AG66" i="14"/>
  <c r="AE66" i="14"/>
  <c r="AD66" i="14"/>
  <c r="AC66" i="14"/>
  <c r="AB66" i="14"/>
  <c r="AA66" i="14"/>
  <c r="Y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AI65" i="14"/>
  <c r="AH65" i="14"/>
  <c r="AG65" i="14"/>
  <c r="AI64" i="14"/>
  <c r="AH64" i="14"/>
  <c r="AI63" i="14"/>
  <c r="AH63" i="14"/>
  <c r="AI62" i="14"/>
  <c r="AH62" i="14"/>
  <c r="AI61" i="14"/>
  <c r="AH61" i="14"/>
  <c r="AI60" i="14"/>
  <c r="AH60" i="14"/>
  <c r="AI59" i="14"/>
  <c r="AH59" i="14"/>
  <c r="AI58" i="14"/>
  <c r="AH58" i="14"/>
  <c r="AI57" i="14"/>
  <c r="AH57" i="14"/>
  <c r="AI56" i="14"/>
  <c r="AH56" i="14"/>
  <c r="AI55" i="14"/>
  <c r="AH55" i="14"/>
  <c r="AI54" i="14"/>
  <c r="AH54" i="14"/>
  <c r="AI53" i="14"/>
  <c r="AH53" i="14"/>
  <c r="AG52" i="14"/>
  <c r="AE52" i="14"/>
  <c r="AD52" i="14"/>
  <c r="AC52" i="14"/>
  <c r="AB52" i="14"/>
  <c r="AA52" i="14"/>
  <c r="Y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AI51" i="14"/>
  <c r="AH51" i="14"/>
  <c r="AI50" i="14"/>
  <c r="AH50" i="14"/>
  <c r="AI49" i="14"/>
  <c r="AH49" i="14"/>
  <c r="AG48" i="14"/>
  <c r="AG87" i="14" s="1"/>
  <c r="AE48" i="14"/>
  <c r="AD48" i="14"/>
  <c r="AC48" i="14"/>
  <c r="AB48" i="14"/>
  <c r="AA48" i="14"/>
  <c r="Y48" i="14"/>
  <c r="W87" i="14"/>
  <c r="W89" i="14" s="1"/>
  <c r="V87" i="14"/>
  <c r="V89" i="14" s="1"/>
  <c r="U48" i="14"/>
  <c r="U87" i="14" s="1"/>
  <c r="U89" i="14" s="1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AI47" i="14"/>
  <c r="AH47" i="14"/>
  <c r="AI46" i="14"/>
  <c r="AH46" i="14"/>
  <c r="AI45" i="14"/>
  <c r="AH45" i="14"/>
  <c r="AI44" i="14"/>
  <c r="AH44" i="14"/>
  <c r="AI43" i="14"/>
  <c r="AH43" i="14"/>
  <c r="AI42" i="14"/>
  <c r="AH42" i="14"/>
  <c r="AI41" i="14"/>
  <c r="AH41" i="14"/>
  <c r="AI40" i="14"/>
  <c r="AH40" i="14"/>
  <c r="AI39" i="14"/>
  <c r="AH39" i="14"/>
  <c r="AI38" i="14"/>
  <c r="AH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I11" i="14"/>
  <c r="AH11" i="14"/>
  <c r="AE5" i="14"/>
  <c r="Y5" i="14"/>
  <c r="W5" i="14"/>
  <c r="V5" i="14"/>
  <c r="U5" i="14"/>
  <c r="AG4" i="14"/>
  <c r="K4" i="14"/>
  <c r="E4" i="14"/>
  <c r="H4" i="14" s="1"/>
  <c r="B4" i="14"/>
  <c r="S243" i="14" s="1"/>
  <c r="AG3" i="14"/>
  <c r="AG6" i="14" s="1"/>
  <c r="AG2" i="14"/>
  <c r="AA98" i="13"/>
  <c r="Z98" i="13"/>
  <c r="AA108" i="13"/>
  <c r="Z108" i="13"/>
  <c r="AA82" i="13"/>
  <c r="Z82" i="13"/>
  <c r="AA66" i="13"/>
  <c r="AA87" i="13" s="1"/>
  <c r="AA89" i="13" s="1"/>
  <c r="Z66" i="13"/>
  <c r="Z87" i="13" s="1"/>
  <c r="Z89" i="13" s="1"/>
  <c r="Z7" i="13" s="1"/>
  <c r="AA52" i="13"/>
  <c r="Z52" i="13"/>
  <c r="AA111" i="13"/>
  <c r="Y111" i="13"/>
  <c r="Y48" i="13"/>
  <c r="Y52" i="13"/>
  <c r="Y66" i="13"/>
  <c r="Y70" i="13"/>
  <c r="X111" i="13"/>
  <c r="W111" i="13"/>
  <c r="W48" i="13"/>
  <c r="V111" i="13"/>
  <c r="U111" i="13"/>
  <c r="U70" i="13"/>
  <c r="V70" i="13"/>
  <c r="U48" i="13"/>
  <c r="V48" i="13"/>
  <c r="U52" i="13"/>
  <c r="V52" i="13"/>
  <c r="U66" i="13"/>
  <c r="V66" i="13"/>
  <c r="T111" i="13"/>
  <c r="T48" i="13"/>
  <c r="T52" i="13"/>
  <c r="S111" i="13"/>
  <c r="S48" i="13"/>
  <c r="S52" i="13"/>
  <c r="N111" i="13"/>
  <c r="AD5" i="14" l="1"/>
  <c r="AE87" i="14"/>
  <c r="AE89" i="14" s="1"/>
  <c r="AD87" i="14"/>
  <c r="AD89" i="14" s="1"/>
  <c r="AV246" i="14" s="1"/>
  <c r="AC5" i="14"/>
  <c r="AB5" i="14"/>
  <c r="AC87" i="14"/>
  <c r="AC89" i="14" s="1"/>
  <c r="AA5" i="14"/>
  <c r="AB87" i="14"/>
  <c r="AB89" i="14" s="1"/>
  <c r="AB7" i="14" s="1"/>
  <c r="Z5" i="14"/>
  <c r="AA87" i="14"/>
  <c r="AA89" i="14" s="1"/>
  <c r="AA7" i="14" s="1"/>
  <c r="X5" i="14"/>
  <c r="Y87" i="14"/>
  <c r="Y89" i="14" s="1"/>
  <c r="Y90" i="14" s="1"/>
  <c r="T5" i="14"/>
  <c r="S5" i="14"/>
  <c r="T87" i="14"/>
  <c r="T89" i="14" s="1"/>
  <c r="T90" i="14" s="1"/>
  <c r="R5" i="14"/>
  <c r="S87" i="14"/>
  <c r="S89" i="14" s="1"/>
  <c r="S7" i="14" s="1"/>
  <c r="Q5" i="14"/>
  <c r="R87" i="14"/>
  <c r="R89" i="14" s="1"/>
  <c r="R7" i="14" s="1"/>
  <c r="P5" i="14"/>
  <c r="Q87" i="14"/>
  <c r="Q89" i="14" s="1"/>
  <c r="Q90" i="14" s="1"/>
  <c r="O5" i="14"/>
  <c r="P87" i="14"/>
  <c r="P89" i="14" s="1"/>
  <c r="AH246" i="14" s="1"/>
  <c r="N5" i="14"/>
  <c r="O87" i="14"/>
  <c r="O89" i="14" s="1"/>
  <c r="AG246" i="14" s="1"/>
  <c r="M5" i="14"/>
  <c r="N87" i="14"/>
  <c r="N89" i="14" s="1"/>
  <c r="N90" i="14" s="1"/>
  <c r="L5" i="14"/>
  <c r="M87" i="14"/>
  <c r="M89" i="14" s="1"/>
  <c r="AA90" i="13"/>
  <c r="AA7" i="13"/>
  <c r="J5" i="14"/>
  <c r="F87" i="14"/>
  <c r="F89" i="14" s="1"/>
  <c r="F90" i="14" s="1"/>
  <c r="K87" i="14"/>
  <c r="K89" i="14" s="1"/>
  <c r="K90" i="14" s="1"/>
  <c r="I5" i="14"/>
  <c r="J87" i="14"/>
  <c r="J89" i="14" s="1"/>
  <c r="J90" i="14" s="1"/>
  <c r="H5" i="14"/>
  <c r="I87" i="14"/>
  <c r="I89" i="14" s="1"/>
  <c r="I90" i="14" s="1"/>
  <c r="AI66" i="14"/>
  <c r="F5" i="14"/>
  <c r="K5" i="14"/>
  <c r="L87" i="14"/>
  <c r="L89" i="14" s="1"/>
  <c r="L7" i="14" s="1"/>
  <c r="E5" i="14"/>
  <c r="G5" i="14"/>
  <c r="D5" i="14"/>
  <c r="E70" i="14"/>
  <c r="AI70" i="14" s="1"/>
  <c r="E87" i="14"/>
  <c r="E89" i="14" s="1"/>
  <c r="E7" i="14" s="1"/>
  <c r="AI52" i="14"/>
  <c r="C5" i="14"/>
  <c r="D87" i="14"/>
  <c r="D89" i="14" s="1"/>
  <c r="D90" i="14" s="1"/>
  <c r="B5" i="14"/>
  <c r="C87" i="14"/>
  <c r="C89" i="14" s="1"/>
  <c r="C7" i="14" s="1"/>
  <c r="G87" i="14"/>
  <c r="G89" i="14" s="1"/>
  <c r="H87" i="14"/>
  <c r="H89" i="14" s="1"/>
  <c r="Z246" i="14" s="1"/>
  <c r="AF5" i="14"/>
  <c r="B87" i="14"/>
  <c r="B89" i="14" s="1"/>
  <c r="B108" i="14"/>
  <c r="AB246" i="14"/>
  <c r="Z7" i="14"/>
  <c r="AR246" i="14"/>
  <c r="S90" i="14"/>
  <c r="L90" i="14"/>
  <c r="AB90" i="14"/>
  <c r="AT246" i="14"/>
  <c r="M7" i="14"/>
  <c r="AE246" i="14"/>
  <c r="M90" i="14"/>
  <c r="U7" i="14"/>
  <c r="AM246" i="14"/>
  <c r="U90" i="14"/>
  <c r="AC7" i="14"/>
  <c r="AU246" i="14"/>
  <c r="AC90" i="14"/>
  <c r="F7" i="14"/>
  <c r="X246" i="14"/>
  <c r="V7" i="14"/>
  <c r="AN246" i="14"/>
  <c r="V90" i="14"/>
  <c r="AD7" i="14"/>
  <c r="AD90" i="14"/>
  <c r="Y7" i="14"/>
  <c r="AQ246" i="14"/>
  <c r="AO246" i="14"/>
  <c r="W90" i="14"/>
  <c r="W7" i="14"/>
  <c r="AW246" i="14"/>
  <c r="AE90" i="14"/>
  <c r="AE7" i="14"/>
  <c r="P90" i="14"/>
  <c r="P7" i="14"/>
  <c r="X7" i="14"/>
  <c r="AP246" i="14"/>
  <c r="AF7" i="14"/>
  <c r="AX246" i="14"/>
  <c r="AI98" i="14"/>
  <c r="AH98" i="14"/>
  <c r="J229" i="14"/>
  <c r="K229" i="14" s="1"/>
  <c r="L229" i="14" s="1"/>
  <c r="M229" i="14" s="1"/>
  <c r="N229" i="14" s="1"/>
  <c r="O229" i="14" s="1"/>
  <c r="P229" i="14" s="1"/>
  <c r="AH70" i="14"/>
  <c r="D243" i="14"/>
  <c r="AH66" i="14"/>
  <c r="E231" i="14"/>
  <c r="AH82" i="14"/>
  <c r="E226" i="14"/>
  <c r="AH48" i="14"/>
  <c r="AH52" i="14"/>
  <c r="AI82" i="14"/>
  <c r="AI48" i="14"/>
  <c r="Z90" i="13"/>
  <c r="AA90" i="14" l="1"/>
  <c r="AS246" i="14"/>
  <c r="AL246" i="14"/>
  <c r="T7" i="14"/>
  <c r="AK246" i="14"/>
  <c r="AJ246" i="14"/>
  <c r="R90" i="14"/>
  <c r="AI246" i="14"/>
  <c r="Q7" i="14"/>
  <c r="O90" i="14"/>
  <c r="O7" i="14"/>
  <c r="AF246" i="14"/>
  <c r="N7" i="14"/>
  <c r="AD246" i="14"/>
  <c r="AC246" i="14"/>
  <c r="K7" i="14"/>
  <c r="J7" i="14"/>
  <c r="AA246" i="14"/>
  <c r="I7" i="14"/>
  <c r="B241" i="14"/>
  <c r="H7" i="14"/>
  <c r="H90" i="14"/>
  <c r="C241" i="14"/>
  <c r="Y246" i="14"/>
  <c r="G7" i="14"/>
  <c r="G90" i="14"/>
  <c r="E90" i="14"/>
  <c r="V246" i="14"/>
  <c r="W246" i="14"/>
  <c r="D7" i="14"/>
  <c r="AI87" i="14"/>
  <c r="C90" i="14"/>
  <c r="U246" i="14"/>
  <c r="AH87" i="14"/>
  <c r="D267" i="14"/>
  <c r="F231" i="14"/>
  <c r="F226" i="14"/>
  <c r="E108" i="14"/>
  <c r="E232" i="14"/>
  <c r="B90" i="14"/>
  <c r="AI89" i="14"/>
  <c r="AH89" i="14"/>
  <c r="B7" i="14"/>
  <c r="T246" i="14"/>
  <c r="K6" i="14" l="1"/>
  <c r="A7" i="14"/>
  <c r="AI90" i="14"/>
  <c r="AH90" i="14"/>
  <c r="G226" i="14"/>
  <c r="F108" i="14"/>
  <c r="F232" i="14"/>
  <c r="E267" i="14"/>
  <c r="G231" i="14"/>
  <c r="H226" i="14" l="1"/>
  <c r="G108" i="14"/>
  <c r="G232" i="14"/>
  <c r="F267" i="14"/>
  <c r="H231" i="14"/>
  <c r="G267" i="14" l="1"/>
  <c r="I231" i="14"/>
  <c r="I226" i="14"/>
  <c r="H108" i="14"/>
  <c r="H232" i="14"/>
  <c r="I108" i="14" l="1"/>
  <c r="J226" i="14"/>
  <c r="H267" i="14"/>
  <c r="J231" i="14"/>
  <c r="K231" i="14" l="1"/>
  <c r="I267" i="14"/>
  <c r="J108" i="14"/>
  <c r="K226" i="14"/>
  <c r="L226" i="14" l="1"/>
  <c r="K108" i="14"/>
  <c r="J267" i="14"/>
  <c r="L231" i="14"/>
  <c r="K267" i="14" l="1"/>
  <c r="M231" i="14"/>
  <c r="M226" i="14"/>
  <c r="L108" i="14"/>
  <c r="N226" i="14" l="1"/>
  <c r="M108" i="14"/>
  <c r="L267" i="14"/>
  <c r="N231" i="14"/>
  <c r="M267" i="14" l="1"/>
  <c r="O231" i="14"/>
  <c r="O226" i="14"/>
  <c r="N108" i="14"/>
  <c r="P226" i="14" l="1"/>
  <c r="O108" i="14"/>
  <c r="N267" i="14"/>
  <c r="P231" i="14"/>
  <c r="O267" i="14" s="1"/>
  <c r="AH108" i="14" l="1"/>
  <c r="AI108" i="14"/>
  <c r="C70" i="13" l="1"/>
  <c r="D70" i="13"/>
  <c r="E70" i="13"/>
  <c r="F70" i="13"/>
  <c r="G70" i="13"/>
  <c r="H70" i="13"/>
  <c r="I70" i="13"/>
  <c r="J70" i="13"/>
  <c r="K70" i="13"/>
  <c r="L70" i="13"/>
  <c r="B48" i="13"/>
  <c r="C48" i="13"/>
  <c r="AF271" i="13"/>
  <c r="AE271" i="13"/>
  <c r="AD271" i="13"/>
  <c r="AC271" i="13"/>
  <c r="AB271" i="13"/>
  <c r="AA271" i="13"/>
  <c r="Z271" i="13"/>
  <c r="Y271" i="13"/>
  <c r="X271" i="13"/>
  <c r="W271" i="13"/>
  <c r="V271" i="13"/>
  <c r="U271" i="13"/>
  <c r="T271" i="13"/>
  <c r="S271" i="13"/>
  <c r="R271" i="13"/>
  <c r="Q271" i="13"/>
  <c r="P271" i="13"/>
  <c r="O271" i="13"/>
  <c r="N271" i="13"/>
  <c r="M271" i="13"/>
  <c r="L271" i="13"/>
  <c r="K271" i="13"/>
  <c r="J271" i="13"/>
  <c r="I271" i="13"/>
  <c r="H271" i="13"/>
  <c r="G271" i="13"/>
  <c r="F271" i="13"/>
  <c r="E271" i="13"/>
  <c r="D271" i="13"/>
  <c r="C271" i="13"/>
  <c r="B271" i="13"/>
  <c r="A271" i="13"/>
  <c r="AF270" i="13"/>
  <c r="AE270" i="13"/>
  <c r="AD270" i="13"/>
  <c r="AC270" i="13"/>
  <c r="AB270" i="13"/>
  <c r="AA270" i="13"/>
  <c r="Z270" i="13"/>
  <c r="Y270" i="13"/>
  <c r="X270" i="13"/>
  <c r="W270" i="13"/>
  <c r="V270" i="13"/>
  <c r="U270" i="13"/>
  <c r="T270" i="13"/>
  <c r="S270" i="13"/>
  <c r="R270" i="13"/>
  <c r="Q270" i="13"/>
  <c r="P270" i="13"/>
  <c r="O270" i="13"/>
  <c r="N270" i="13"/>
  <c r="M270" i="13"/>
  <c r="L270" i="13"/>
  <c r="K270" i="13"/>
  <c r="J270" i="13"/>
  <c r="I270" i="13"/>
  <c r="H270" i="13"/>
  <c r="G270" i="13"/>
  <c r="F270" i="13"/>
  <c r="E270" i="13"/>
  <c r="D270" i="13"/>
  <c r="C270" i="13"/>
  <c r="B270" i="13"/>
  <c r="A270" i="13"/>
  <c r="AF269" i="13"/>
  <c r="AE269" i="13"/>
  <c r="AD269" i="13"/>
  <c r="AC269" i="13"/>
  <c r="AB269" i="13"/>
  <c r="AA269" i="13"/>
  <c r="Z269" i="13"/>
  <c r="Y269" i="13"/>
  <c r="X269" i="13"/>
  <c r="W269" i="13"/>
  <c r="V269" i="13"/>
  <c r="U269" i="13"/>
  <c r="T269" i="13"/>
  <c r="S269" i="13"/>
  <c r="R269" i="13"/>
  <c r="Q269" i="13"/>
  <c r="P269" i="13"/>
  <c r="O269" i="13"/>
  <c r="N269" i="13"/>
  <c r="M269" i="13"/>
  <c r="L269" i="13"/>
  <c r="K269" i="13"/>
  <c r="J269" i="13"/>
  <c r="I269" i="13"/>
  <c r="H269" i="13"/>
  <c r="G269" i="13"/>
  <c r="F269" i="13"/>
  <c r="E269" i="13"/>
  <c r="D269" i="13"/>
  <c r="C269" i="13"/>
  <c r="B269" i="13"/>
  <c r="A269" i="13"/>
  <c r="AF268" i="13"/>
  <c r="AE268" i="13"/>
  <c r="AD268" i="13"/>
  <c r="AC268" i="13"/>
  <c r="AB268" i="13"/>
  <c r="AA268" i="13"/>
  <c r="Z268" i="13"/>
  <c r="Y268" i="13"/>
  <c r="X268" i="13"/>
  <c r="W268" i="13"/>
  <c r="V268" i="13"/>
  <c r="U268" i="13"/>
  <c r="T268" i="13"/>
  <c r="S268" i="13"/>
  <c r="R268" i="13"/>
  <c r="Q268" i="13"/>
  <c r="P268" i="13"/>
  <c r="O268" i="13"/>
  <c r="N268" i="13"/>
  <c r="M268" i="13"/>
  <c r="L268" i="13"/>
  <c r="K268" i="13"/>
  <c r="J268" i="13"/>
  <c r="I268" i="13"/>
  <c r="H268" i="13"/>
  <c r="G268" i="13"/>
  <c r="F268" i="13"/>
  <c r="E268" i="13"/>
  <c r="D268" i="13"/>
  <c r="C268" i="13"/>
  <c r="B268" i="13"/>
  <c r="A268" i="13"/>
  <c r="AE267" i="13"/>
  <c r="AD267" i="13"/>
  <c r="AC267" i="13"/>
  <c r="AB267" i="13"/>
  <c r="AA267" i="13"/>
  <c r="Z267" i="13"/>
  <c r="Y267" i="13"/>
  <c r="X267" i="13"/>
  <c r="W267" i="13"/>
  <c r="V267" i="13"/>
  <c r="U267" i="13"/>
  <c r="T267" i="13"/>
  <c r="S267" i="13"/>
  <c r="R267" i="13"/>
  <c r="Q267" i="13"/>
  <c r="P267" i="13"/>
  <c r="E267" i="13"/>
  <c r="D267" i="13"/>
  <c r="C267" i="13"/>
  <c r="B267" i="13"/>
  <c r="S242" i="13"/>
  <c r="AG232" i="13"/>
  <c r="AG65" i="13" s="1"/>
  <c r="AG66" i="13" s="1"/>
  <c r="AF232" i="13"/>
  <c r="AE232" i="13"/>
  <c r="AD232" i="13"/>
  <c r="AC232" i="13"/>
  <c r="AB232" i="13"/>
  <c r="AA232" i="13"/>
  <c r="Z232" i="13"/>
  <c r="Y232" i="13"/>
  <c r="X232" i="13"/>
  <c r="W232" i="13"/>
  <c r="V232" i="13"/>
  <c r="U232" i="13"/>
  <c r="T232" i="13"/>
  <c r="S232" i="13"/>
  <c r="R232" i="13"/>
  <c r="Q232" i="13"/>
  <c r="C232" i="13"/>
  <c r="G231" i="13"/>
  <c r="F267" i="13" s="1"/>
  <c r="F231" i="13"/>
  <c r="E231" i="13"/>
  <c r="D231" i="13"/>
  <c r="B231" i="13"/>
  <c r="AF267" i="13" s="1"/>
  <c r="D230" i="13"/>
  <c r="E230" i="13" s="1"/>
  <c r="F230" i="13" s="1"/>
  <c r="G230" i="13" s="1"/>
  <c r="H230" i="13" s="1"/>
  <c r="I230" i="13" s="1"/>
  <c r="B230" i="13"/>
  <c r="J229" i="13"/>
  <c r="K229" i="13" s="1"/>
  <c r="L229" i="13" s="1"/>
  <c r="M229" i="13" s="1"/>
  <c r="N229" i="13" s="1"/>
  <c r="O229" i="13" s="1"/>
  <c r="P229" i="13" s="1"/>
  <c r="D229" i="13"/>
  <c r="E229" i="13" s="1"/>
  <c r="F229" i="13" s="1"/>
  <c r="G229" i="13" s="1"/>
  <c r="H229" i="13" s="1"/>
  <c r="I229" i="13" s="1"/>
  <c r="B229" i="13"/>
  <c r="H228" i="13"/>
  <c r="G228" i="13"/>
  <c r="F228" i="13"/>
  <c r="E228" i="13"/>
  <c r="D228" i="13"/>
  <c r="B228" i="13"/>
  <c r="H227" i="13"/>
  <c r="I227" i="13" s="1"/>
  <c r="J227" i="13" s="1"/>
  <c r="K227" i="13" s="1"/>
  <c r="L227" i="13" s="1"/>
  <c r="M227" i="13" s="1"/>
  <c r="N227" i="13" s="1"/>
  <c r="O227" i="13" s="1"/>
  <c r="P227" i="13" s="1"/>
  <c r="G227" i="13"/>
  <c r="F227" i="13"/>
  <c r="E227" i="13"/>
  <c r="D227" i="13"/>
  <c r="B227" i="13"/>
  <c r="D226" i="13"/>
  <c r="B226" i="13"/>
  <c r="B108" i="13" s="1"/>
  <c r="AG224" i="13"/>
  <c r="AF224" i="13"/>
  <c r="AE224" i="13"/>
  <c r="AD224" i="13"/>
  <c r="AC224" i="13"/>
  <c r="AB224" i="13"/>
  <c r="AA224" i="13"/>
  <c r="Z224" i="13"/>
  <c r="Y224" i="13"/>
  <c r="X224" i="13"/>
  <c r="W224" i="13"/>
  <c r="V224" i="13"/>
  <c r="U224" i="13"/>
  <c r="T224" i="13"/>
  <c r="S224" i="13"/>
  <c r="R224" i="13"/>
  <c r="Q224" i="13"/>
  <c r="P224" i="13"/>
  <c r="O224" i="13"/>
  <c r="N224" i="13"/>
  <c r="M224" i="13"/>
  <c r="L224" i="13"/>
  <c r="K224" i="13"/>
  <c r="J224" i="13"/>
  <c r="I224" i="13"/>
  <c r="H224" i="13"/>
  <c r="G224" i="13"/>
  <c r="F224" i="13"/>
  <c r="E224" i="13"/>
  <c r="D224" i="13"/>
  <c r="C224" i="13"/>
  <c r="B224" i="13"/>
  <c r="AI117" i="13"/>
  <c r="AH117" i="13"/>
  <c r="AI116" i="13"/>
  <c r="AH116" i="13"/>
  <c r="AI115" i="13"/>
  <c r="AH115" i="13"/>
  <c r="AI114" i="13"/>
  <c r="AH114" i="13"/>
  <c r="AI113" i="13"/>
  <c r="AH113" i="13"/>
  <c r="AI112" i="13"/>
  <c r="AH112" i="13"/>
  <c r="AI111" i="13"/>
  <c r="AH111" i="13"/>
  <c r="AI110" i="13"/>
  <c r="AH110" i="13"/>
  <c r="AI109" i="13"/>
  <c r="AH109" i="13"/>
  <c r="AF108" i="13"/>
  <c r="AE108" i="13"/>
  <c r="AD108" i="13"/>
  <c r="AC108" i="13"/>
  <c r="AB108" i="13"/>
  <c r="Y108" i="13"/>
  <c r="X108" i="13"/>
  <c r="W108" i="13"/>
  <c r="V108" i="13"/>
  <c r="U108" i="13"/>
  <c r="T108" i="13"/>
  <c r="S108" i="13"/>
  <c r="R108" i="13"/>
  <c r="Q108" i="13"/>
  <c r="C108" i="13"/>
  <c r="AI107" i="13"/>
  <c r="AH107" i="13"/>
  <c r="AI106" i="13"/>
  <c r="AH106" i="13"/>
  <c r="AI105" i="13"/>
  <c r="AH105" i="13"/>
  <c r="AI104" i="13"/>
  <c r="AH104" i="13"/>
  <c r="AI103" i="13"/>
  <c r="AH103" i="13"/>
  <c r="AI102" i="13"/>
  <c r="AH102" i="13"/>
  <c r="AI101" i="13"/>
  <c r="AH101" i="13"/>
  <c r="AI100" i="13"/>
  <c r="AH100" i="13"/>
  <c r="AI99" i="13"/>
  <c r="AH99" i="13"/>
  <c r="AI97" i="13"/>
  <c r="AH97" i="13"/>
  <c r="AI96" i="13"/>
  <c r="AH96" i="13"/>
  <c r="AI95" i="13"/>
  <c r="AH95" i="13"/>
  <c r="AI94" i="13"/>
  <c r="AH94" i="13"/>
  <c r="AI93" i="13"/>
  <c r="AH93" i="13"/>
  <c r="AI92" i="13"/>
  <c r="AH92" i="13"/>
  <c r="AI91" i="13"/>
  <c r="AH91" i="13"/>
  <c r="AI88" i="13"/>
  <c r="AH88" i="13"/>
  <c r="AI86" i="13"/>
  <c r="AH86" i="13"/>
  <c r="AG86" i="13"/>
  <c r="AG89" i="13" s="1"/>
  <c r="AI85" i="13"/>
  <c r="AH85" i="13"/>
  <c r="AI84" i="13"/>
  <c r="AH84" i="13"/>
  <c r="AI83" i="13"/>
  <c r="AH83" i="13"/>
  <c r="AN82" i="13"/>
  <c r="AG82" i="13"/>
  <c r="AF82" i="13"/>
  <c r="AE5" i="13" s="1"/>
  <c r="AE82" i="13"/>
  <c r="AE98" i="13" s="1"/>
  <c r="AD82" i="13"/>
  <c r="AC5" i="13" s="1"/>
  <c r="AC82" i="13"/>
  <c r="AC98" i="13" s="1"/>
  <c r="AB82" i="13"/>
  <c r="AB98" i="13" s="1"/>
  <c r="Y5" i="13"/>
  <c r="Y82" i="13"/>
  <c r="X5" i="13" s="1"/>
  <c r="X82" i="13"/>
  <c r="W5" i="13" s="1"/>
  <c r="W82" i="13"/>
  <c r="W98" i="13" s="1"/>
  <c r="V82" i="13"/>
  <c r="U5" i="13" s="1"/>
  <c r="U82" i="13"/>
  <c r="U98" i="13" s="1"/>
  <c r="T82" i="13"/>
  <c r="T98" i="13" s="1"/>
  <c r="S82" i="13"/>
  <c r="S98" i="13" s="1"/>
  <c r="R82" i="13"/>
  <c r="Q5" i="13" s="1"/>
  <c r="Q82" i="13"/>
  <c r="P5" i="13" s="1"/>
  <c r="P82" i="13"/>
  <c r="O5" i="13" s="1"/>
  <c r="O82" i="13"/>
  <c r="O98" i="13" s="1"/>
  <c r="N82" i="13"/>
  <c r="N98" i="13" s="1"/>
  <c r="M82" i="13"/>
  <c r="L5" i="13" s="1"/>
  <c r="L82" i="13"/>
  <c r="L98" i="13" s="1"/>
  <c r="K82" i="13"/>
  <c r="K98" i="13" s="1"/>
  <c r="J82" i="13"/>
  <c r="I5" i="13" s="1"/>
  <c r="I82" i="13"/>
  <c r="H5" i="13" s="1"/>
  <c r="H82" i="13"/>
  <c r="G5" i="13" s="1"/>
  <c r="G82" i="13"/>
  <c r="F5" i="13" s="1"/>
  <c r="F82" i="13"/>
  <c r="F98" i="13" s="1"/>
  <c r="E82" i="13"/>
  <c r="E98" i="13" s="1"/>
  <c r="D82" i="13"/>
  <c r="D98" i="13" s="1"/>
  <c r="C82" i="13"/>
  <c r="C98" i="13" s="1"/>
  <c r="B82" i="13"/>
  <c r="AF5" i="13" s="1"/>
  <c r="AN81" i="13"/>
  <c r="AI81" i="13"/>
  <c r="AH81" i="13"/>
  <c r="AN80" i="13"/>
  <c r="AI80" i="13"/>
  <c r="AH80" i="13"/>
  <c r="AN79" i="13"/>
  <c r="AI79" i="13"/>
  <c r="AH79" i="13"/>
  <c r="AI78" i="13"/>
  <c r="AH78" i="13"/>
  <c r="AI77" i="13"/>
  <c r="AH77" i="13"/>
  <c r="AI76" i="13"/>
  <c r="AH76" i="13"/>
  <c r="AI75" i="13"/>
  <c r="AH75" i="13"/>
  <c r="AI74" i="13"/>
  <c r="AH74" i="13"/>
  <c r="AI73" i="13"/>
  <c r="AH73" i="13"/>
  <c r="AI72" i="13"/>
  <c r="AH72" i="13"/>
  <c r="AI71" i="13"/>
  <c r="AH71" i="13"/>
  <c r="AG70" i="13"/>
  <c r="AF70" i="13"/>
  <c r="AE70" i="13"/>
  <c r="AD70" i="13"/>
  <c r="AC70" i="13"/>
  <c r="AB70" i="13"/>
  <c r="X70" i="13"/>
  <c r="W70" i="13"/>
  <c r="T70" i="13"/>
  <c r="S70" i="13"/>
  <c r="R70" i="13"/>
  <c r="Q70" i="13"/>
  <c r="P70" i="13"/>
  <c r="O70" i="13"/>
  <c r="N70" i="13"/>
  <c r="M70" i="13"/>
  <c r="B70" i="13"/>
  <c r="AI69" i="13"/>
  <c r="AH69" i="13"/>
  <c r="AI68" i="13"/>
  <c r="AH68" i="13"/>
  <c r="AI67" i="13"/>
  <c r="AH67" i="13"/>
  <c r="AF66" i="13"/>
  <c r="AE66" i="13"/>
  <c r="AD66" i="13"/>
  <c r="AC66" i="13"/>
  <c r="AB66" i="13"/>
  <c r="X66" i="13"/>
  <c r="W66" i="13"/>
  <c r="T66" i="13"/>
  <c r="S66" i="13"/>
  <c r="R66" i="13"/>
  <c r="Q66" i="13"/>
  <c r="P66" i="13"/>
  <c r="O66" i="13"/>
  <c r="N66" i="13"/>
  <c r="M66" i="13"/>
  <c r="L66" i="13"/>
  <c r="K66" i="13"/>
  <c r="J66" i="13"/>
  <c r="I66" i="13"/>
  <c r="H66" i="13"/>
  <c r="G66" i="13"/>
  <c r="F66" i="13"/>
  <c r="E66" i="13"/>
  <c r="D66" i="13"/>
  <c r="C66" i="13"/>
  <c r="B66" i="13"/>
  <c r="AI65" i="13"/>
  <c r="AH65" i="13"/>
  <c r="AI64" i="13"/>
  <c r="AH64" i="13"/>
  <c r="AI63" i="13"/>
  <c r="AH63" i="13"/>
  <c r="AI62" i="13"/>
  <c r="AH62" i="13"/>
  <c r="AI61" i="13"/>
  <c r="AH61" i="13"/>
  <c r="AI60" i="13"/>
  <c r="AH60" i="13"/>
  <c r="AI59" i="13"/>
  <c r="AH59" i="13"/>
  <c r="AI58" i="13"/>
  <c r="AH58" i="13"/>
  <c r="AI57" i="13"/>
  <c r="AH57" i="13"/>
  <c r="AI56" i="13"/>
  <c r="AH56" i="13"/>
  <c r="AI55" i="13"/>
  <c r="AH55" i="13"/>
  <c r="AI54" i="13"/>
  <c r="AH54" i="13"/>
  <c r="AI53" i="13"/>
  <c r="AH53" i="13"/>
  <c r="AG52" i="13"/>
  <c r="AF52" i="13"/>
  <c r="AE52" i="13"/>
  <c r="AD52" i="13"/>
  <c r="AC52" i="13"/>
  <c r="AB52" i="13"/>
  <c r="X52" i="13"/>
  <c r="W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AI51" i="13"/>
  <c r="AH51" i="13"/>
  <c r="AI50" i="13"/>
  <c r="AH50" i="13"/>
  <c r="AI49" i="13"/>
  <c r="AH49" i="13"/>
  <c r="AG48" i="13"/>
  <c r="AF48" i="13"/>
  <c r="AE48" i="13"/>
  <c r="AD48" i="13"/>
  <c r="AC48" i="13"/>
  <c r="AB48" i="13"/>
  <c r="X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AI47" i="13"/>
  <c r="AH47" i="13"/>
  <c r="AI46" i="13"/>
  <c r="AH46" i="13"/>
  <c r="AI45" i="13"/>
  <c r="AH45" i="13"/>
  <c r="AI44" i="13"/>
  <c r="AH44" i="13"/>
  <c r="AI43" i="13"/>
  <c r="AH43" i="13"/>
  <c r="AI42" i="13"/>
  <c r="AH42" i="13"/>
  <c r="AI41" i="13"/>
  <c r="AH41" i="13"/>
  <c r="AI40" i="13"/>
  <c r="AH40" i="13"/>
  <c r="AI39" i="13"/>
  <c r="AH39" i="13"/>
  <c r="AI38" i="13"/>
  <c r="AH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AD5" i="13"/>
  <c r="AG4" i="13"/>
  <c r="K4" i="13"/>
  <c r="E4" i="13"/>
  <c r="H4" i="13" s="1"/>
  <c r="B4" i="13"/>
  <c r="AG3" i="13"/>
  <c r="AG2" i="13"/>
  <c r="AG6" i="13" s="1"/>
  <c r="C70" i="12"/>
  <c r="D70" i="12"/>
  <c r="E70" i="12"/>
  <c r="F70" i="12"/>
  <c r="G70" i="12"/>
  <c r="H70" i="12"/>
  <c r="I70" i="12"/>
  <c r="J70" i="12"/>
  <c r="K70" i="12"/>
  <c r="W89" i="12"/>
  <c r="X89" i="12"/>
  <c r="Y89" i="12"/>
  <c r="Z89" i="12"/>
  <c r="AA89" i="12"/>
  <c r="W87" i="12"/>
  <c r="X87" i="12"/>
  <c r="Y87" i="12"/>
  <c r="Z87" i="12"/>
  <c r="AA87" i="12"/>
  <c r="AD98" i="13" l="1"/>
  <c r="AD87" i="13"/>
  <c r="AD89" i="13" s="1"/>
  <c r="AD7" i="13" s="1"/>
  <c r="AF98" i="13"/>
  <c r="AE87" i="13"/>
  <c r="AE89" i="13" s="1"/>
  <c r="AW246" i="13" s="1"/>
  <c r="AB5" i="13"/>
  <c r="AC87" i="13"/>
  <c r="AC89" i="13" s="1"/>
  <c r="AU246" i="13" s="1"/>
  <c r="AA5" i="13"/>
  <c r="X98" i="13"/>
  <c r="V5" i="13"/>
  <c r="U87" i="13"/>
  <c r="U89" i="13" s="1"/>
  <c r="W87" i="13"/>
  <c r="W89" i="13" s="1"/>
  <c r="W7" i="13" s="1"/>
  <c r="V87" i="13"/>
  <c r="V89" i="13" s="1"/>
  <c r="AN246" i="13" s="1"/>
  <c r="V98" i="13"/>
  <c r="T5" i="13"/>
  <c r="S5" i="13"/>
  <c r="R5" i="13"/>
  <c r="S87" i="13"/>
  <c r="S89" i="13" s="1"/>
  <c r="AK246" i="13" s="1"/>
  <c r="N5" i="13"/>
  <c r="O87" i="13"/>
  <c r="O89" i="13" s="1"/>
  <c r="O7" i="13" s="1"/>
  <c r="M5" i="13"/>
  <c r="N87" i="13"/>
  <c r="N89" i="13" s="1"/>
  <c r="N7" i="13" s="1"/>
  <c r="M87" i="13"/>
  <c r="M89" i="13" s="1"/>
  <c r="AE246" i="13" s="1"/>
  <c r="M98" i="13"/>
  <c r="K5" i="13"/>
  <c r="K87" i="13"/>
  <c r="K89" i="13" s="1"/>
  <c r="AC246" i="13" s="1"/>
  <c r="G98" i="13"/>
  <c r="G87" i="13"/>
  <c r="G89" i="13" s="1"/>
  <c r="G7" i="13" s="1"/>
  <c r="AI66" i="13"/>
  <c r="F87" i="13"/>
  <c r="F89" i="13" s="1"/>
  <c r="E5" i="13"/>
  <c r="D5" i="13"/>
  <c r="E87" i="13"/>
  <c r="E89" i="13" s="1"/>
  <c r="E90" i="13" s="1"/>
  <c r="C5" i="13"/>
  <c r="D87" i="13"/>
  <c r="D89" i="13" s="1"/>
  <c r="D7" i="13" s="1"/>
  <c r="B5" i="13"/>
  <c r="C87" i="13"/>
  <c r="C89" i="13" s="1"/>
  <c r="C7" i="13" s="1"/>
  <c r="B98" i="13"/>
  <c r="AH66" i="13"/>
  <c r="U7" i="13"/>
  <c r="AM246" i="13"/>
  <c r="U90" i="13"/>
  <c r="S90" i="13"/>
  <c r="S7" i="13"/>
  <c r="J230" i="13"/>
  <c r="K230" i="13" s="1"/>
  <c r="L230" i="13" s="1"/>
  <c r="M230" i="13" s="1"/>
  <c r="N230" i="13" s="1"/>
  <c r="O230" i="13" s="1"/>
  <c r="P230" i="13" s="1"/>
  <c r="AS246" i="13"/>
  <c r="Y246" i="13"/>
  <c r="W90" i="13"/>
  <c r="V7" i="13"/>
  <c r="V90" i="13"/>
  <c r="I98" i="13"/>
  <c r="D232" i="13"/>
  <c r="D108" i="13"/>
  <c r="L87" i="13"/>
  <c r="L89" i="13" s="1"/>
  <c r="T87" i="13"/>
  <c r="T89" i="13" s="1"/>
  <c r="AB87" i="13"/>
  <c r="AB89" i="13" s="1"/>
  <c r="AH82" i="13"/>
  <c r="J98" i="13"/>
  <c r="E226" i="13"/>
  <c r="H231" i="13"/>
  <c r="AI82" i="13"/>
  <c r="AE90" i="13"/>
  <c r="Y98" i="13"/>
  <c r="J5" i="13"/>
  <c r="P87" i="13"/>
  <c r="P89" i="13" s="1"/>
  <c r="X87" i="13"/>
  <c r="X89" i="13" s="1"/>
  <c r="AF87" i="13"/>
  <c r="AF89" i="13" s="1"/>
  <c r="P98" i="13"/>
  <c r="H87" i="13"/>
  <c r="H89" i="13" s="1"/>
  <c r="I87" i="13"/>
  <c r="I89" i="13" s="1"/>
  <c r="Q87" i="13"/>
  <c r="Q89" i="13" s="1"/>
  <c r="Y87" i="13"/>
  <c r="Y89" i="13" s="1"/>
  <c r="AG87" i="13"/>
  <c r="AI52" i="13"/>
  <c r="AH52" i="13"/>
  <c r="F7" i="13"/>
  <c r="X246" i="13"/>
  <c r="F90" i="13"/>
  <c r="Q98" i="13"/>
  <c r="AH70" i="13"/>
  <c r="S243" i="13"/>
  <c r="D243" i="13"/>
  <c r="Z5" i="13"/>
  <c r="B87" i="13"/>
  <c r="AI48" i="13"/>
  <c r="J87" i="13"/>
  <c r="J89" i="13" s="1"/>
  <c r="R87" i="13"/>
  <c r="R89" i="13" s="1"/>
  <c r="AH48" i="13"/>
  <c r="AI70" i="13"/>
  <c r="H98" i="13"/>
  <c r="R98" i="13"/>
  <c r="B232" i="13"/>
  <c r="AC7" i="13" l="1"/>
  <c r="AE7" i="13"/>
  <c r="AD90" i="13"/>
  <c r="AV246" i="13"/>
  <c r="AC90" i="13"/>
  <c r="AO246" i="13"/>
  <c r="AG246" i="13"/>
  <c r="O90" i="13"/>
  <c r="N90" i="13"/>
  <c r="AF246" i="13"/>
  <c r="M90" i="13"/>
  <c r="M7" i="13"/>
  <c r="K7" i="13"/>
  <c r="K90" i="13"/>
  <c r="V246" i="13"/>
  <c r="D90" i="13"/>
  <c r="G90" i="13"/>
  <c r="E7" i="13"/>
  <c r="W246" i="13"/>
  <c r="AI98" i="13"/>
  <c r="U246" i="13"/>
  <c r="C90" i="13"/>
  <c r="AA246" i="13"/>
  <c r="I90" i="13"/>
  <c r="I7" i="13"/>
  <c r="E232" i="13"/>
  <c r="E108" i="13"/>
  <c r="F226" i="13"/>
  <c r="Z246" i="13"/>
  <c r="H7" i="13"/>
  <c r="H90" i="13"/>
  <c r="B241" i="13"/>
  <c r="C241" i="13"/>
  <c r="AB90" i="13"/>
  <c r="AB7" i="13"/>
  <c r="AT246" i="13"/>
  <c r="AX246" i="13"/>
  <c r="AF7" i="13"/>
  <c r="AF90" i="13"/>
  <c r="T90" i="13"/>
  <c r="T7" i="13"/>
  <c r="AL246" i="13"/>
  <c r="AH98" i="13"/>
  <c r="AP246" i="13"/>
  <c r="X7" i="13"/>
  <c r="X90" i="13"/>
  <c r="L90" i="13"/>
  <c r="L7" i="13"/>
  <c r="AD246" i="13"/>
  <c r="AH246" i="13"/>
  <c r="P90" i="13"/>
  <c r="P7" i="13"/>
  <c r="AH87" i="13"/>
  <c r="AI87" i="13"/>
  <c r="B89" i="13"/>
  <c r="AR246" i="13"/>
  <c r="R90" i="13"/>
  <c r="R7" i="13"/>
  <c r="AJ246" i="13"/>
  <c r="AQ246" i="13"/>
  <c r="Y90" i="13"/>
  <c r="Y7" i="13"/>
  <c r="J90" i="13"/>
  <c r="J7" i="13"/>
  <c r="AB246" i="13"/>
  <c r="AI246" i="13"/>
  <c r="Q90" i="13"/>
  <c r="Q7" i="13"/>
  <c r="G267" i="13"/>
  <c r="I231" i="13"/>
  <c r="K6" i="13" l="1"/>
  <c r="G226" i="13"/>
  <c r="F232" i="13"/>
  <c r="F108" i="13"/>
  <c r="H267" i="13"/>
  <c r="J231" i="13"/>
  <c r="B90" i="13"/>
  <c r="AH89" i="13"/>
  <c r="B7" i="13"/>
  <c r="A7" i="13" s="1"/>
  <c r="T246" i="13"/>
  <c r="AI89" i="13"/>
  <c r="K231" i="13" l="1"/>
  <c r="I267" i="13"/>
  <c r="H226" i="13"/>
  <c r="G232" i="13"/>
  <c r="G108" i="13"/>
  <c r="AI90" i="13"/>
  <c r="AH90" i="13"/>
  <c r="I226" i="13" l="1"/>
  <c r="H108" i="13"/>
  <c r="H232" i="13"/>
  <c r="J267" i="13"/>
  <c r="L231" i="13"/>
  <c r="M231" i="13" l="1"/>
  <c r="K267" i="13"/>
  <c r="I108" i="13"/>
  <c r="J226" i="13"/>
  <c r="J108" i="13" l="1"/>
  <c r="K226" i="13"/>
  <c r="L267" i="13"/>
  <c r="N231" i="13"/>
  <c r="M267" i="13" l="1"/>
  <c r="O231" i="13"/>
  <c r="K108" i="13"/>
  <c r="L226" i="13"/>
  <c r="L108" i="13" l="1"/>
  <c r="M226" i="13"/>
  <c r="N267" i="13"/>
  <c r="P231" i="13"/>
  <c r="O267" i="13" s="1"/>
  <c r="N226" i="13" l="1"/>
  <c r="M108" i="13"/>
  <c r="P111" i="12"/>
  <c r="Q111" i="12"/>
  <c r="AG48" i="12"/>
  <c r="D111" i="12"/>
  <c r="C111" i="12"/>
  <c r="O226" i="13" l="1"/>
  <c r="N108" i="13"/>
  <c r="B111" i="12"/>
  <c r="B108" i="12"/>
  <c r="B82" i="12"/>
  <c r="B98" i="12" s="1"/>
  <c r="B70" i="12"/>
  <c r="B66" i="12"/>
  <c r="B52" i="12"/>
  <c r="B48" i="12"/>
  <c r="AF111" i="11"/>
  <c r="AF271" i="12"/>
  <c r="AE271" i="12"/>
  <c r="AD271" i="12"/>
  <c r="AC271" i="12"/>
  <c r="AB271" i="12"/>
  <c r="AA271" i="12"/>
  <c r="Z271" i="12"/>
  <c r="Y271" i="12"/>
  <c r="X271" i="12"/>
  <c r="W271" i="12"/>
  <c r="V271" i="12"/>
  <c r="U271" i="12"/>
  <c r="T271" i="12"/>
  <c r="S271" i="12"/>
  <c r="R271" i="12"/>
  <c r="Q271" i="12"/>
  <c r="P271" i="12"/>
  <c r="O271" i="12"/>
  <c r="N271" i="12"/>
  <c r="M271" i="12"/>
  <c r="L271" i="12"/>
  <c r="K271" i="12"/>
  <c r="J271" i="12"/>
  <c r="I271" i="12"/>
  <c r="H271" i="12"/>
  <c r="G271" i="12"/>
  <c r="F271" i="12"/>
  <c r="E271" i="12"/>
  <c r="D271" i="12"/>
  <c r="C271" i="12"/>
  <c r="B271" i="12"/>
  <c r="A271" i="12"/>
  <c r="AF270" i="12"/>
  <c r="AE270" i="12"/>
  <c r="AD270" i="12"/>
  <c r="AC270" i="12"/>
  <c r="AB270" i="12"/>
  <c r="AA270" i="12"/>
  <c r="Z270" i="12"/>
  <c r="Y270" i="12"/>
  <c r="X270" i="12"/>
  <c r="W270" i="12"/>
  <c r="V270" i="12"/>
  <c r="U270" i="12"/>
  <c r="T270" i="12"/>
  <c r="S270" i="12"/>
  <c r="R270" i="12"/>
  <c r="Q270" i="12"/>
  <c r="P270" i="12"/>
  <c r="O270" i="12"/>
  <c r="N270" i="12"/>
  <c r="M270" i="12"/>
  <c r="L270" i="12"/>
  <c r="K270" i="12"/>
  <c r="J270" i="12"/>
  <c r="I270" i="12"/>
  <c r="H270" i="12"/>
  <c r="G270" i="12"/>
  <c r="F270" i="12"/>
  <c r="E270" i="12"/>
  <c r="D270" i="12"/>
  <c r="C270" i="12"/>
  <c r="B270" i="12"/>
  <c r="A270" i="12"/>
  <c r="AF269" i="12"/>
  <c r="AE269" i="12"/>
  <c r="AD269" i="12"/>
  <c r="AC269" i="12"/>
  <c r="AB269" i="12"/>
  <c r="AA269" i="12"/>
  <c r="Z269" i="12"/>
  <c r="Y269" i="12"/>
  <c r="X269" i="12"/>
  <c r="W269" i="12"/>
  <c r="V269" i="12"/>
  <c r="U269" i="12"/>
  <c r="T269" i="12"/>
  <c r="S269" i="12"/>
  <c r="R269" i="12"/>
  <c r="Q269" i="12"/>
  <c r="P269" i="12"/>
  <c r="O269" i="12"/>
  <c r="N269" i="12"/>
  <c r="M269" i="12"/>
  <c r="L269" i="12"/>
  <c r="K269" i="12"/>
  <c r="J269" i="12"/>
  <c r="I269" i="12"/>
  <c r="H269" i="12"/>
  <c r="G269" i="12"/>
  <c r="F269" i="12"/>
  <c r="E269" i="12"/>
  <c r="D269" i="12"/>
  <c r="C269" i="12"/>
  <c r="B269" i="12"/>
  <c r="A269" i="12"/>
  <c r="AF268" i="12"/>
  <c r="AE268" i="12"/>
  <c r="AD268" i="12"/>
  <c r="AC268" i="12"/>
  <c r="AB268" i="12"/>
  <c r="AA268" i="12"/>
  <c r="Z268" i="12"/>
  <c r="Y268" i="12"/>
  <c r="X268" i="12"/>
  <c r="W268" i="12"/>
  <c r="V268" i="12"/>
  <c r="U268" i="12"/>
  <c r="T268" i="12"/>
  <c r="S268" i="12"/>
  <c r="R268" i="12"/>
  <c r="Q268" i="12"/>
  <c r="P268" i="12"/>
  <c r="O268" i="12"/>
  <c r="N268" i="12"/>
  <c r="M268" i="12"/>
  <c r="L268" i="12"/>
  <c r="K268" i="12"/>
  <c r="J268" i="12"/>
  <c r="I268" i="12"/>
  <c r="H268" i="12"/>
  <c r="G268" i="12"/>
  <c r="F268" i="12"/>
  <c r="E268" i="12"/>
  <c r="D268" i="12"/>
  <c r="C268" i="12"/>
  <c r="B268" i="12"/>
  <c r="A268" i="12"/>
  <c r="AE267" i="12"/>
  <c r="AD267" i="12"/>
  <c r="AC267" i="12"/>
  <c r="AB267" i="12"/>
  <c r="AA267" i="12"/>
  <c r="Z267" i="12"/>
  <c r="Y267" i="12"/>
  <c r="X267" i="12"/>
  <c r="W267" i="12"/>
  <c r="V267" i="12"/>
  <c r="U267" i="12"/>
  <c r="T267" i="12"/>
  <c r="S267" i="12"/>
  <c r="R267" i="12"/>
  <c r="Q267" i="12"/>
  <c r="P267" i="12"/>
  <c r="D267" i="12"/>
  <c r="C267" i="12"/>
  <c r="B267" i="12"/>
  <c r="S242" i="12"/>
  <c r="AG232" i="12"/>
  <c r="AF232" i="12"/>
  <c r="AE232" i="12"/>
  <c r="AD232" i="12"/>
  <c r="AC232" i="12"/>
  <c r="AB232" i="12"/>
  <c r="AA232" i="12"/>
  <c r="Z232" i="12"/>
  <c r="Y232" i="12"/>
  <c r="X232" i="12"/>
  <c r="W232" i="12"/>
  <c r="V232" i="12"/>
  <c r="U232" i="12"/>
  <c r="T232" i="12"/>
  <c r="S232" i="12"/>
  <c r="R232" i="12"/>
  <c r="Q232" i="12"/>
  <c r="D232" i="12"/>
  <c r="C232" i="12"/>
  <c r="G231" i="12"/>
  <c r="F267" i="12" s="1"/>
  <c r="F231" i="12"/>
  <c r="E267" i="12" s="1"/>
  <c r="E231" i="12"/>
  <c r="D231" i="12"/>
  <c r="B231" i="12"/>
  <c r="AF267" i="12" s="1"/>
  <c r="E230" i="12"/>
  <c r="F230" i="12" s="1"/>
  <c r="G230" i="12" s="1"/>
  <c r="H230" i="12" s="1"/>
  <c r="I230" i="12" s="1"/>
  <c r="J230" i="12" s="1"/>
  <c r="K230" i="12" s="1"/>
  <c r="L230" i="12" s="1"/>
  <c r="M230" i="12" s="1"/>
  <c r="N230" i="12" s="1"/>
  <c r="O230" i="12" s="1"/>
  <c r="P230" i="12" s="1"/>
  <c r="D230" i="12"/>
  <c r="B230" i="12"/>
  <c r="G229" i="12"/>
  <c r="H229" i="12" s="1"/>
  <c r="I229" i="12" s="1"/>
  <c r="F229" i="12"/>
  <c r="E229" i="12"/>
  <c r="D229" i="12"/>
  <c r="B229" i="12"/>
  <c r="E228" i="12"/>
  <c r="F228" i="12" s="1"/>
  <c r="G228" i="12" s="1"/>
  <c r="H228" i="12" s="1"/>
  <c r="D228" i="12"/>
  <c r="B228" i="12"/>
  <c r="G227" i="12"/>
  <c r="H227" i="12" s="1"/>
  <c r="I227" i="12" s="1"/>
  <c r="J227" i="12" s="1"/>
  <c r="K227" i="12" s="1"/>
  <c r="L227" i="12" s="1"/>
  <c r="M227" i="12" s="1"/>
  <c r="N227" i="12" s="1"/>
  <c r="O227" i="12" s="1"/>
  <c r="P227" i="12" s="1"/>
  <c r="F227" i="12"/>
  <c r="E227" i="12"/>
  <c r="D227" i="12"/>
  <c r="B227" i="12"/>
  <c r="E226" i="12"/>
  <c r="F226" i="12" s="1"/>
  <c r="D226" i="12"/>
  <c r="B226" i="12"/>
  <c r="B232" i="12" s="1"/>
  <c r="AG224" i="12"/>
  <c r="AF224" i="12"/>
  <c r="AE224" i="12"/>
  <c r="AD224" i="12"/>
  <c r="AC224" i="12"/>
  <c r="AB224" i="12"/>
  <c r="AA224" i="12"/>
  <c r="Z224" i="12"/>
  <c r="Y224" i="12"/>
  <c r="X224" i="12"/>
  <c r="W224" i="12"/>
  <c r="V224" i="12"/>
  <c r="U224" i="12"/>
  <c r="T224" i="12"/>
  <c r="S224" i="12"/>
  <c r="R224" i="12"/>
  <c r="Q224" i="12"/>
  <c r="P224" i="12"/>
  <c r="O224" i="12"/>
  <c r="N224" i="12"/>
  <c r="M224" i="12"/>
  <c r="L224" i="12"/>
  <c r="K224" i="12"/>
  <c r="J224" i="12"/>
  <c r="I224" i="12"/>
  <c r="H224" i="12"/>
  <c r="G224" i="12"/>
  <c r="F224" i="12"/>
  <c r="E224" i="12"/>
  <c r="D224" i="12"/>
  <c r="C224" i="12"/>
  <c r="B224" i="12"/>
  <c r="AI117" i="12"/>
  <c r="AH117" i="12"/>
  <c r="AI116" i="12"/>
  <c r="AH116" i="12"/>
  <c r="AI115" i="12"/>
  <c r="AH115" i="12"/>
  <c r="AI114" i="12"/>
  <c r="AH114" i="12"/>
  <c r="AI113" i="12"/>
  <c r="AH113" i="12"/>
  <c r="AI112" i="12"/>
  <c r="AH112" i="12"/>
  <c r="AI111" i="12"/>
  <c r="AH111" i="12"/>
  <c r="AI110" i="12"/>
  <c r="AH110" i="12"/>
  <c r="AI109" i="12"/>
  <c r="AH109" i="12"/>
  <c r="AF108" i="12"/>
  <c r="AE108" i="12"/>
  <c r="AD108" i="12"/>
  <c r="AC108" i="12"/>
  <c r="AB108" i="12"/>
  <c r="AA108" i="12"/>
  <c r="Y108" i="12"/>
  <c r="X108" i="12"/>
  <c r="W108" i="12"/>
  <c r="V108" i="12"/>
  <c r="U108" i="12"/>
  <c r="T108" i="12"/>
  <c r="S108" i="12"/>
  <c r="R108" i="12"/>
  <c r="Q108" i="12"/>
  <c r="E108" i="12"/>
  <c r="D108" i="12"/>
  <c r="C108" i="12"/>
  <c r="AI107" i="12"/>
  <c r="AH107" i="12"/>
  <c r="AI106" i="12"/>
  <c r="AH106" i="12"/>
  <c r="AI105" i="12"/>
  <c r="AH105" i="12"/>
  <c r="AI104" i="12"/>
  <c r="AH104" i="12"/>
  <c r="AI103" i="12"/>
  <c r="AH103" i="12"/>
  <c r="AI102" i="12"/>
  <c r="AH102" i="12"/>
  <c r="AI101" i="12"/>
  <c r="AH101" i="12"/>
  <c r="AI100" i="12"/>
  <c r="AH100" i="12"/>
  <c r="AI99" i="12"/>
  <c r="AH99" i="12"/>
  <c r="AI97" i="12"/>
  <c r="AH97" i="12"/>
  <c r="AI96" i="12"/>
  <c r="AH96" i="12"/>
  <c r="AI95" i="12"/>
  <c r="AH95" i="12"/>
  <c r="AI94" i="12"/>
  <c r="AH94" i="12"/>
  <c r="AI93" i="12"/>
  <c r="AH93" i="12"/>
  <c r="AI92" i="12"/>
  <c r="AH92" i="12"/>
  <c r="AI91" i="12"/>
  <c r="AH91" i="12"/>
  <c r="AI88" i="12"/>
  <c r="AH88" i="12"/>
  <c r="AI86" i="12"/>
  <c r="AH86" i="12"/>
  <c r="AG86" i="12"/>
  <c r="AI85" i="12"/>
  <c r="AH85" i="12"/>
  <c r="AI84" i="12"/>
  <c r="AH84" i="12"/>
  <c r="AI83" i="12"/>
  <c r="AH83" i="12"/>
  <c r="AN82" i="12"/>
  <c r="AG82" i="12"/>
  <c r="AF82" i="12"/>
  <c r="AF98" i="12" s="1"/>
  <c r="AE82" i="12"/>
  <c r="AE98" i="12" s="1"/>
  <c r="AD82" i="12"/>
  <c r="AD98" i="12" s="1"/>
  <c r="AC82" i="12"/>
  <c r="AB5" i="12" s="1"/>
  <c r="AB82" i="12"/>
  <c r="AB98" i="12" s="1"/>
  <c r="AA82" i="12"/>
  <c r="AA98" i="12" s="1"/>
  <c r="Y82" i="12"/>
  <c r="Y98" i="12" s="1"/>
  <c r="X82" i="12"/>
  <c r="X98" i="12" s="1"/>
  <c r="W82" i="12"/>
  <c r="W98" i="12" s="1"/>
  <c r="V82" i="12"/>
  <c r="V98" i="12" s="1"/>
  <c r="U82" i="12"/>
  <c r="U98" i="12" s="1"/>
  <c r="T82" i="12"/>
  <c r="T98" i="12" s="1"/>
  <c r="S82" i="12"/>
  <c r="S98" i="12" s="1"/>
  <c r="R82" i="12"/>
  <c r="R98" i="12" s="1"/>
  <c r="Q82" i="12"/>
  <c r="Q98" i="12" s="1"/>
  <c r="P82" i="12"/>
  <c r="P98" i="12" s="1"/>
  <c r="O82" i="12"/>
  <c r="O98" i="12" s="1"/>
  <c r="N82" i="12"/>
  <c r="N98" i="12" s="1"/>
  <c r="M82" i="12"/>
  <c r="M98" i="12" s="1"/>
  <c r="L82" i="12"/>
  <c r="L98" i="12" s="1"/>
  <c r="K82" i="12"/>
  <c r="K98" i="12" s="1"/>
  <c r="J82" i="12"/>
  <c r="J98" i="12" s="1"/>
  <c r="I82" i="12"/>
  <c r="H5" i="12" s="1"/>
  <c r="H82" i="12"/>
  <c r="H98" i="12" s="1"/>
  <c r="G82" i="12"/>
  <c r="G98" i="12" s="1"/>
  <c r="F82" i="12"/>
  <c r="F98" i="12" s="1"/>
  <c r="E82" i="12"/>
  <c r="E98" i="12" s="1"/>
  <c r="D82" i="12"/>
  <c r="D98" i="12" s="1"/>
  <c r="C82" i="12"/>
  <c r="C98" i="12" s="1"/>
  <c r="AI81" i="12"/>
  <c r="AH81" i="12"/>
  <c r="AN80" i="12"/>
  <c r="AI80" i="12"/>
  <c r="AH80" i="12"/>
  <c r="AN79" i="12"/>
  <c r="AN81" i="12" s="1"/>
  <c r="AI79" i="12"/>
  <c r="AH79" i="12"/>
  <c r="AI78" i="12"/>
  <c r="AH78" i="12"/>
  <c r="AI77" i="12"/>
  <c r="AH77" i="12"/>
  <c r="AI76" i="12"/>
  <c r="AH76" i="12"/>
  <c r="AI75" i="12"/>
  <c r="AH75" i="12"/>
  <c r="AI74" i="12"/>
  <c r="AH74" i="12"/>
  <c r="AI73" i="12"/>
  <c r="AH73" i="12"/>
  <c r="AI72" i="12"/>
  <c r="AH72" i="12"/>
  <c r="AI71" i="12"/>
  <c r="AH71" i="12"/>
  <c r="AG70" i="12"/>
  <c r="AF70" i="12"/>
  <c r="AE70" i="12"/>
  <c r="AD70" i="12"/>
  <c r="AC70" i="12"/>
  <c r="AB70" i="12"/>
  <c r="AA70" i="12"/>
  <c r="Y70" i="12"/>
  <c r="X70" i="12"/>
  <c r="W70" i="12"/>
  <c r="V70" i="12"/>
  <c r="U70" i="12"/>
  <c r="T70" i="12"/>
  <c r="S70" i="12"/>
  <c r="R70" i="12"/>
  <c r="Q70" i="12"/>
  <c r="P70" i="12"/>
  <c r="O70" i="12"/>
  <c r="N70" i="12"/>
  <c r="M70" i="12"/>
  <c r="L70" i="12"/>
  <c r="AI69" i="12"/>
  <c r="AH69" i="12"/>
  <c r="AI68" i="12"/>
  <c r="AH68" i="12"/>
  <c r="AI67" i="12"/>
  <c r="AH67" i="12"/>
  <c r="AF66" i="12"/>
  <c r="AE66" i="12"/>
  <c r="AD66" i="12"/>
  <c r="AC66" i="12"/>
  <c r="AB66" i="12"/>
  <c r="AA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AI65" i="12"/>
  <c r="AH65" i="12"/>
  <c r="AG65" i="12"/>
  <c r="AG66" i="12" s="1"/>
  <c r="AG3" i="12" s="1"/>
  <c r="AI64" i="12"/>
  <c r="AH64" i="12"/>
  <c r="AI63" i="12"/>
  <c r="AH63" i="12"/>
  <c r="AI62" i="12"/>
  <c r="AH62" i="12"/>
  <c r="AI61" i="12"/>
  <c r="AH61" i="12"/>
  <c r="AI60" i="12"/>
  <c r="AH60" i="12"/>
  <c r="AI59" i="12"/>
  <c r="AH59" i="12"/>
  <c r="AI58" i="12"/>
  <c r="AH58" i="12"/>
  <c r="AI57" i="12"/>
  <c r="AH57" i="12"/>
  <c r="AI56" i="12"/>
  <c r="AH56" i="12"/>
  <c r="AI55" i="12"/>
  <c r="AH55" i="12"/>
  <c r="AI54" i="12"/>
  <c r="AH54" i="12"/>
  <c r="AI53" i="12"/>
  <c r="AH53" i="12"/>
  <c r="AG52" i="12"/>
  <c r="AF52" i="12"/>
  <c r="AE52" i="12"/>
  <c r="AD52" i="12"/>
  <c r="AC52" i="12"/>
  <c r="AB52" i="12"/>
  <c r="AA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AI51" i="12"/>
  <c r="AH51" i="12"/>
  <c r="AI50" i="12"/>
  <c r="AH50" i="12"/>
  <c r="AI49" i="12"/>
  <c r="AH49" i="12"/>
  <c r="AF48" i="12"/>
  <c r="AE48" i="12"/>
  <c r="AD48" i="12"/>
  <c r="AC48" i="12"/>
  <c r="AB48" i="12"/>
  <c r="AA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D87" i="12" s="1"/>
  <c r="D89" i="12" s="1"/>
  <c r="C48" i="12"/>
  <c r="AI47" i="12"/>
  <c r="AH47" i="12"/>
  <c r="AI46" i="12"/>
  <c r="AH46" i="12"/>
  <c r="AI45" i="12"/>
  <c r="AH45" i="12"/>
  <c r="AI44" i="12"/>
  <c r="AH44" i="12"/>
  <c r="AI43" i="12"/>
  <c r="AH43" i="12"/>
  <c r="AI42" i="12"/>
  <c r="AH42" i="12"/>
  <c r="AI41" i="12"/>
  <c r="AH41" i="12"/>
  <c r="AI40" i="12"/>
  <c r="AH40" i="12"/>
  <c r="AI39" i="12"/>
  <c r="AH39" i="12"/>
  <c r="AI38" i="12"/>
  <c r="AH38" i="12"/>
  <c r="AI37" i="12"/>
  <c r="AH37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AF5" i="12"/>
  <c r="Y5" i="12"/>
  <c r="O5" i="12"/>
  <c r="AG4" i="12"/>
  <c r="K4" i="12"/>
  <c r="E4" i="12"/>
  <c r="H4" i="12" s="1"/>
  <c r="B4" i="12"/>
  <c r="S243" i="12" s="1"/>
  <c r="AG2" i="12"/>
  <c r="AE111" i="11"/>
  <c r="AD111" i="11"/>
  <c r="Z48" i="11"/>
  <c r="AC98" i="12" l="1"/>
  <c r="AE5" i="12"/>
  <c r="P226" i="13"/>
  <c r="O108" i="13"/>
  <c r="AF87" i="12"/>
  <c r="AF89" i="12" s="1"/>
  <c r="AD5" i="12"/>
  <c r="AE87" i="12"/>
  <c r="AE89" i="12" s="1"/>
  <c r="AC5" i="12"/>
  <c r="AD87" i="12"/>
  <c r="AD89" i="12" s="1"/>
  <c r="AD7" i="12" s="1"/>
  <c r="AC87" i="12"/>
  <c r="AC89" i="12" s="1"/>
  <c r="AA5" i="12"/>
  <c r="AB87" i="12"/>
  <c r="AB89" i="12" s="1"/>
  <c r="Z5" i="12"/>
  <c r="X5" i="12"/>
  <c r="W5" i="12"/>
  <c r="V5" i="12"/>
  <c r="W90" i="12"/>
  <c r="AS246" i="12"/>
  <c r="AQ246" i="12"/>
  <c r="U5" i="12"/>
  <c r="V87" i="12"/>
  <c r="V89" i="12" s="1"/>
  <c r="V7" i="12" s="1"/>
  <c r="T5" i="12"/>
  <c r="U87" i="12"/>
  <c r="U89" i="12" s="1"/>
  <c r="S5" i="12"/>
  <c r="AI70" i="12"/>
  <c r="T87" i="12"/>
  <c r="T89" i="12" s="1"/>
  <c r="T7" i="12" s="1"/>
  <c r="R5" i="12"/>
  <c r="S87" i="12"/>
  <c r="S89" i="12" s="1"/>
  <c r="AK246" i="12" s="1"/>
  <c r="Q5" i="12"/>
  <c r="R87" i="12"/>
  <c r="R89" i="12" s="1"/>
  <c r="R7" i="12" s="1"/>
  <c r="P5" i="12"/>
  <c r="Q87" i="12"/>
  <c r="Q89" i="12" s="1"/>
  <c r="Q90" i="12" s="1"/>
  <c r="N5" i="12"/>
  <c r="O87" i="12"/>
  <c r="O89" i="12" s="1"/>
  <c r="AG246" i="12" s="1"/>
  <c r="P87" i="12"/>
  <c r="P89" i="12" s="1"/>
  <c r="P90" i="12" s="1"/>
  <c r="M5" i="12"/>
  <c r="N87" i="12"/>
  <c r="N89" i="12" s="1"/>
  <c r="N90" i="12" s="1"/>
  <c r="L5" i="12"/>
  <c r="M87" i="12"/>
  <c r="M89" i="12" s="1"/>
  <c r="AE246" i="12" s="1"/>
  <c r="J5" i="12"/>
  <c r="K5" i="12"/>
  <c r="L87" i="12"/>
  <c r="L89" i="12" s="1"/>
  <c r="L90" i="12" s="1"/>
  <c r="K87" i="12"/>
  <c r="K89" i="12" s="1"/>
  <c r="AC246" i="12" s="1"/>
  <c r="I5" i="12"/>
  <c r="J87" i="12"/>
  <c r="J89" i="12" s="1"/>
  <c r="I98" i="12"/>
  <c r="AI52" i="12"/>
  <c r="I87" i="12"/>
  <c r="I89" i="12" s="1"/>
  <c r="G5" i="12"/>
  <c r="H87" i="12"/>
  <c r="H89" i="12" s="1"/>
  <c r="H7" i="12" s="1"/>
  <c r="F5" i="12"/>
  <c r="G87" i="12"/>
  <c r="G89" i="12" s="1"/>
  <c r="Y246" i="12" s="1"/>
  <c r="E5" i="12"/>
  <c r="F87" i="12"/>
  <c r="F89" i="12" s="1"/>
  <c r="X246" i="12" s="1"/>
  <c r="D5" i="12"/>
  <c r="E87" i="12"/>
  <c r="E89" i="12" s="1"/>
  <c r="E7" i="12" s="1"/>
  <c r="C5" i="12"/>
  <c r="B5" i="12"/>
  <c r="AI66" i="12"/>
  <c r="C87" i="12"/>
  <c r="C89" i="12" s="1"/>
  <c r="C7" i="12" s="1"/>
  <c r="B87" i="12"/>
  <c r="B89" i="12" s="1"/>
  <c r="B90" i="12" s="1"/>
  <c r="AF90" i="12"/>
  <c r="AF7" i="12"/>
  <c r="AX246" i="12"/>
  <c r="AI98" i="12"/>
  <c r="AH98" i="12"/>
  <c r="X90" i="12"/>
  <c r="X7" i="12"/>
  <c r="AP246" i="12"/>
  <c r="Q7" i="12"/>
  <c r="AI246" i="12"/>
  <c r="AG87" i="12"/>
  <c r="J90" i="12"/>
  <c r="J7" i="12"/>
  <c r="AB246" i="12"/>
  <c r="R90" i="12"/>
  <c r="AJ246" i="12"/>
  <c r="Z7" i="12"/>
  <c r="AR246" i="12"/>
  <c r="G226" i="12"/>
  <c r="F108" i="12"/>
  <c r="F232" i="12"/>
  <c r="AW246" i="12"/>
  <c r="AE90" i="12"/>
  <c r="AE7" i="12"/>
  <c r="K90" i="12"/>
  <c r="S90" i="12"/>
  <c r="S7" i="12"/>
  <c r="AO246" i="12"/>
  <c r="J229" i="12"/>
  <c r="K229" i="12" s="1"/>
  <c r="L229" i="12" s="1"/>
  <c r="M229" i="12" s="1"/>
  <c r="N229" i="12" s="1"/>
  <c r="O229" i="12" s="1"/>
  <c r="P229" i="12" s="1"/>
  <c r="H90" i="12"/>
  <c r="AG6" i="12"/>
  <c r="D90" i="12"/>
  <c r="V246" i="12"/>
  <c r="D7" i="12"/>
  <c r="T90" i="12"/>
  <c r="AL246" i="12"/>
  <c r="AB90" i="12"/>
  <c r="AT246" i="12"/>
  <c r="AB7" i="12"/>
  <c r="O7" i="12"/>
  <c r="P7" i="12"/>
  <c r="AH246" i="12"/>
  <c r="W246" i="12"/>
  <c r="M7" i="12"/>
  <c r="U7" i="12"/>
  <c r="AM246" i="12"/>
  <c r="U90" i="12"/>
  <c r="AC7" i="12"/>
  <c r="AU246" i="12"/>
  <c r="AC90" i="12"/>
  <c r="F7" i="12"/>
  <c r="V90" i="12"/>
  <c r="AD90" i="12"/>
  <c r="AG89" i="12"/>
  <c r="AH70" i="12"/>
  <c r="E232" i="12"/>
  <c r="D243" i="12"/>
  <c r="AH66" i="12"/>
  <c r="AH82" i="12"/>
  <c r="AH48" i="12"/>
  <c r="AH52" i="12"/>
  <c r="AI82" i="12"/>
  <c r="H231" i="12"/>
  <c r="AI48" i="12"/>
  <c r="K48" i="11"/>
  <c r="K52" i="11"/>
  <c r="J111" i="11"/>
  <c r="J48" i="11"/>
  <c r="H108" i="11"/>
  <c r="I108" i="11"/>
  <c r="H111" i="11"/>
  <c r="I111" i="11"/>
  <c r="I48" i="11"/>
  <c r="H48" i="11"/>
  <c r="G111" i="11"/>
  <c r="G48" i="11"/>
  <c r="G52" i="11"/>
  <c r="G66" i="11"/>
  <c r="G82" i="11"/>
  <c r="F5" i="11" s="1"/>
  <c r="F111" i="11"/>
  <c r="E48" i="11"/>
  <c r="F48" i="11"/>
  <c r="E52" i="11"/>
  <c r="F52" i="11"/>
  <c r="E66" i="11"/>
  <c r="F66" i="11"/>
  <c r="E82" i="11"/>
  <c r="E87" i="11" s="1"/>
  <c r="E89" i="11" s="1"/>
  <c r="F82" i="11"/>
  <c r="F98" i="11" s="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D267" i="11"/>
  <c r="C267" i="11"/>
  <c r="B267" i="11"/>
  <c r="S242" i="11"/>
  <c r="AG232" i="11"/>
  <c r="AG65" i="11" s="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C232" i="11"/>
  <c r="F231" i="11"/>
  <c r="E231" i="11"/>
  <c r="D231" i="11"/>
  <c r="B231" i="11"/>
  <c r="AF267" i="11" s="1"/>
  <c r="D230" i="11"/>
  <c r="E230" i="11" s="1"/>
  <c r="F230" i="11" s="1"/>
  <c r="G230" i="11" s="1"/>
  <c r="H230" i="11" s="1"/>
  <c r="I230" i="11" s="1"/>
  <c r="J230" i="11" s="1"/>
  <c r="K230" i="11" s="1"/>
  <c r="L230" i="11" s="1"/>
  <c r="M230" i="11" s="1"/>
  <c r="N230" i="11" s="1"/>
  <c r="O230" i="11" s="1"/>
  <c r="P230" i="11" s="1"/>
  <c r="B230" i="11"/>
  <c r="D229" i="11"/>
  <c r="E229" i="11" s="1"/>
  <c r="F229" i="11" s="1"/>
  <c r="G229" i="11" s="1"/>
  <c r="H229" i="11" s="1"/>
  <c r="I229" i="11" s="1"/>
  <c r="B229" i="11"/>
  <c r="H228" i="11"/>
  <c r="G228" i="11"/>
  <c r="F228" i="11"/>
  <c r="E228" i="11"/>
  <c r="D228" i="11"/>
  <c r="B228" i="11"/>
  <c r="N227" i="11"/>
  <c r="O227" i="11" s="1"/>
  <c r="P227" i="11" s="1"/>
  <c r="F227" i="11"/>
  <c r="G227" i="11" s="1"/>
  <c r="H227" i="11" s="1"/>
  <c r="I227" i="11" s="1"/>
  <c r="J227" i="11" s="1"/>
  <c r="K227" i="11" s="1"/>
  <c r="L227" i="11" s="1"/>
  <c r="M227" i="11" s="1"/>
  <c r="E227" i="11"/>
  <c r="D227" i="11"/>
  <c r="B227" i="11"/>
  <c r="D226" i="11"/>
  <c r="B226" i="11"/>
  <c r="B108" i="11" s="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I117" i="11"/>
  <c r="AH117" i="11"/>
  <c r="AI116" i="11"/>
  <c r="AH116" i="11"/>
  <c r="AI115" i="11"/>
  <c r="AH115" i="11"/>
  <c r="AI114" i="11"/>
  <c r="AH114" i="11"/>
  <c r="AI113" i="11"/>
  <c r="AH113" i="11"/>
  <c r="AI112" i="11"/>
  <c r="AH112" i="11"/>
  <c r="AI111" i="11"/>
  <c r="AH111" i="11"/>
  <c r="AI110" i="11"/>
  <c r="AH110" i="11"/>
  <c r="AI109" i="11"/>
  <c r="AH109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C108" i="11"/>
  <c r="AI107" i="11"/>
  <c r="AH107" i="11"/>
  <c r="AI106" i="11"/>
  <c r="AH106" i="11"/>
  <c r="AI105" i="11"/>
  <c r="AH105" i="11"/>
  <c r="AI104" i="11"/>
  <c r="AH104" i="11"/>
  <c r="AI103" i="11"/>
  <c r="AH103" i="11"/>
  <c r="AI102" i="11"/>
  <c r="AH102" i="11"/>
  <c r="AI101" i="11"/>
  <c r="AH101" i="11"/>
  <c r="AI100" i="11"/>
  <c r="AH100" i="11"/>
  <c r="AI99" i="11"/>
  <c r="AH99" i="11"/>
  <c r="AI97" i="11"/>
  <c r="AH97" i="11"/>
  <c r="AI96" i="11"/>
  <c r="AH96" i="11"/>
  <c r="AI95" i="11"/>
  <c r="AH95" i="11"/>
  <c r="AI94" i="11"/>
  <c r="AH94" i="11"/>
  <c r="AI93" i="11"/>
  <c r="AH93" i="11"/>
  <c r="AI92" i="11"/>
  <c r="AH92" i="11"/>
  <c r="AI91" i="11"/>
  <c r="AH91" i="11"/>
  <c r="AI88" i="11"/>
  <c r="AH88" i="11"/>
  <c r="AI86" i="11"/>
  <c r="AH86" i="11"/>
  <c r="AG86" i="11"/>
  <c r="AI85" i="11"/>
  <c r="AH85" i="11"/>
  <c r="AI84" i="11"/>
  <c r="AH84" i="11"/>
  <c r="AI83" i="11"/>
  <c r="AH83" i="11"/>
  <c r="AN82" i="11"/>
  <c r="AG82" i="11"/>
  <c r="AG89" i="11" s="1"/>
  <c r="AF82" i="11"/>
  <c r="AE5" i="11" s="1"/>
  <c r="AE82" i="11"/>
  <c r="AD5" i="11" s="1"/>
  <c r="AD82" i="11"/>
  <c r="AC5" i="11" s="1"/>
  <c r="AC82" i="11"/>
  <c r="AC98" i="11" s="1"/>
  <c r="AB82" i="11"/>
  <c r="AB98" i="11" s="1"/>
  <c r="AA82" i="11"/>
  <c r="AA98" i="11" s="1"/>
  <c r="Z82" i="11"/>
  <c r="Z98" i="11" s="1"/>
  <c r="Y82" i="11"/>
  <c r="X82" i="11"/>
  <c r="W5" i="11" s="1"/>
  <c r="W82" i="11"/>
  <c r="V5" i="11" s="1"/>
  <c r="V82" i="11"/>
  <c r="V98" i="11" s="1"/>
  <c r="U82" i="11"/>
  <c r="U98" i="11" s="1"/>
  <c r="T82" i="11"/>
  <c r="T98" i="11" s="1"/>
  <c r="S82" i="11"/>
  <c r="S98" i="11" s="1"/>
  <c r="R82" i="11"/>
  <c r="R98" i="11" s="1"/>
  <c r="Q82" i="11"/>
  <c r="P82" i="11"/>
  <c r="O5" i="11" s="1"/>
  <c r="O82" i="11"/>
  <c r="N5" i="11" s="1"/>
  <c r="N82" i="11"/>
  <c r="N98" i="11" s="1"/>
  <c r="M82" i="11"/>
  <c r="M98" i="11" s="1"/>
  <c r="L82" i="11"/>
  <c r="L98" i="11" s="1"/>
  <c r="K82" i="11"/>
  <c r="K98" i="11" s="1"/>
  <c r="J82" i="11"/>
  <c r="J98" i="11" s="1"/>
  <c r="I82" i="11"/>
  <c r="H82" i="11"/>
  <c r="G5" i="11" s="1"/>
  <c r="D82" i="11"/>
  <c r="C5" i="11" s="1"/>
  <c r="C82" i="11"/>
  <c r="C98" i="11" s="1"/>
  <c r="B82" i="11"/>
  <c r="AN81" i="11"/>
  <c r="AI81" i="11"/>
  <c r="AH81" i="11"/>
  <c r="AN80" i="11"/>
  <c r="AI80" i="11"/>
  <c r="AH80" i="11"/>
  <c r="AN79" i="11"/>
  <c r="AI79" i="11"/>
  <c r="AH79" i="11"/>
  <c r="AI78" i="11"/>
  <c r="AH78" i="11"/>
  <c r="AI77" i="11"/>
  <c r="AH77" i="11"/>
  <c r="AI76" i="11"/>
  <c r="AH76" i="11"/>
  <c r="AI75" i="11"/>
  <c r="AH75" i="11"/>
  <c r="AI74" i="11"/>
  <c r="AH74" i="11"/>
  <c r="AI73" i="11"/>
  <c r="AH73" i="11"/>
  <c r="AI72" i="11"/>
  <c r="AH72" i="11"/>
  <c r="AI71" i="11"/>
  <c r="AH71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B70" i="11"/>
  <c r="AI69" i="11"/>
  <c r="AH69" i="11"/>
  <c r="AI68" i="11"/>
  <c r="AH68" i="11"/>
  <c r="AI67" i="11"/>
  <c r="AH67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D66" i="11"/>
  <c r="C66" i="11"/>
  <c r="B66" i="11"/>
  <c r="AI65" i="11"/>
  <c r="AH65" i="11"/>
  <c r="AI64" i="11"/>
  <c r="AH64" i="11"/>
  <c r="AI63" i="11"/>
  <c r="AH63" i="11"/>
  <c r="AI62" i="11"/>
  <c r="AH62" i="11"/>
  <c r="AI61" i="11"/>
  <c r="AH61" i="11"/>
  <c r="AI60" i="11"/>
  <c r="AH60" i="11"/>
  <c r="AI59" i="11"/>
  <c r="AH59" i="11"/>
  <c r="AI58" i="11"/>
  <c r="AH58" i="11"/>
  <c r="AI57" i="11"/>
  <c r="AH57" i="11"/>
  <c r="AI56" i="11"/>
  <c r="AH56" i="11"/>
  <c r="AI55" i="11"/>
  <c r="AH55" i="11"/>
  <c r="AI54" i="11"/>
  <c r="AH54" i="11"/>
  <c r="AI53" i="11"/>
  <c r="AH53" i="11"/>
  <c r="AG52" i="11"/>
  <c r="AF52" i="11"/>
  <c r="AE52" i="11"/>
  <c r="AD52" i="11"/>
  <c r="AC52" i="11"/>
  <c r="AB52" i="11"/>
  <c r="AA52" i="11"/>
  <c r="Z52" i="11"/>
  <c r="Z87" i="11" s="1"/>
  <c r="Z89" i="11" s="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J52" i="11"/>
  <c r="I52" i="11"/>
  <c r="H52" i="11"/>
  <c r="D52" i="11"/>
  <c r="C52" i="11"/>
  <c r="B52" i="11"/>
  <c r="AI51" i="11"/>
  <c r="AH51" i="11"/>
  <c r="AI50" i="11"/>
  <c r="AH50" i="11"/>
  <c r="AI49" i="11"/>
  <c r="AH49" i="11"/>
  <c r="AG48" i="11"/>
  <c r="AF48" i="11"/>
  <c r="AE48" i="11"/>
  <c r="AD48" i="11"/>
  <c r="AC48" i="11"/>
  <c r="AB48" i="11"/>
  <c r="AA48" i="11"/>
  <c r="Y48" i="11"/>
  <c r="X48" i="11"/>
  <c r="W48" i="11"/>
  <c r="V48" i="11"/>
  <c r="U48" i="11"/>
  <c r="T48" i="11"/>
  <c r="S48" i="11"/>
  <c r="R48" i="11"/>
  <c r="R87" i="11" s="1"/>
  <c r="R89" i="11" s="1"/>
  <c r="Q48" i="11"/>
  <c r="P48" i="11"/>
  <c r="O48" i="11"/>
  <c r="N48" i="11"/>
  <c r="M48" i="11"/>
  <c r="L48" i="11"/>
  <c r="D48" i="11"/>
  <c r="C48" i="11"/>
  <c r="B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I38" i="11"/>
  <c r="AH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I13" i="11"/>
  <c r="AH13" i="11"/>
  <c r="AI12" i="11"/>
  <c r="AH12" i="11"/>
  <c r="AI11" i="11"/>
  <c r="AH11" i="11"/>
  <c r="Y5" i="11"/>
  <c r="Q5" i="11"/>
  <c r="AG4" i="11"/>
  <c r="K4" i="11"/>
  <c r="E4" i="11"/>
  <c r="H4" i="11" s="1"/>
  <c r="B4" i="11"/>
  <c r="S243" i="11" s="1"/>
  <c r="AG3" i="11"/>
  <c r="AA48" i="10"/>
  <c r="Z48" i="10"/>
  <c r="AV246" i="12" l="1"/>
  <c r="AH108" i="13"/>
  <c r="AI108" i="13"/>
  <c r="K7" i="12"/>
  <c r="C90" i="12"/>
  <c r="G7" i="12"/>
  <c r="G90" i="12"/>
  <c r="Y7" i="12"/>
  <c r="Y90" i="12"/>
  <c r="AA7" i="12"/>
  <c r="AA90" i="12"/>
  <c r="W7" i="12"/>
  <c r="AN246" i="12"/>
  <c r="O90" i="12"/>
  <c r="AF246" i="12"/>
  <c r="N7" i="12"/>
  <c r="M90" i="12"/>
  <c r="AD246" i="12"/>
  <c r="L7" i="12"/>
  <c r="B241" i="12"/>
  <c r="C241" i="12"/>
  <c r="AA246" i="12"/>
  <c r="I7" i="12"/>
  <c r="I90" i="12"/>
  <c r="Z246" i="12"/>
  <c r="F90" i="12"/>
  <c r="AH87" i="12"/>
  <c r="E90" i="12"/>
  <c r="U246" i="12"/>
  <c r="AI87" i="12"/>
  <c r="AF98" i="11"/>
  <c r="H226" i="12"/>
  <c r="G108" i="12"/>
  <c r="G232" i="12"/>
  <c r="G267" i="12"/>
  <c r="I231" i="12"/>
  <c r="AI89" i="12"/>
  <c r="AH89" i="12"/>
  <c r="B7" i="12"/>
  <c r="T246" i="12"/>
  <c r="AE87" i="11"/>
  <c r="AE89" i="11" s="1"/>
  <c r="AW246" i="11" s="1"/>
  <c r="AD98" i="11"/>
  <c r="AD87" i="11"/>
  <c r="AD89" i="11" s="1"/>
  <c r="AB5" i="11"/>
  <c r="AC87" i="11"/>
  <c r="AC89" i="11" s="1"/>
  <c r="AA5" i="11"/>
  <c r="AB87" i="11"/>
  <c r="AB89" i="11" s="1"/>
  <c r="Z5" i="11"/>
  <c r="AA87" i="11"/>
  <c r="AA89" i="11" s="1"/>
  <c r="X98" i="11"/>
  <c r="W87" i="11"/>
  <c r="W89" i="11" s="1"/>
  <c r="U87" i="11"/>
  <c r="U89" i="11" s="1"/>
  <c r="T5" i="11"/>
  <c r="K5" i="11"/>
  <c r="S5" i="11"/>
  <c r="T87" i="11"/>
  <c r="T89" i="11" s="1"/>
  <c r="V87" i="11"/>
  <c r="V89" i="11" s="1"/>
  <c r="U5" i="11"/>
  <c r="R5" i="11"/>
  <c r="S87" i="11"/>
  <c r="S89" i="11" s="1"/>
  <c r="P98" i="11"/>
  <c r="O87" i="11"/>
  <c r="O89" i="11" s="1"/>
  <c r="AG246" i="11" s="1"/>
  <c r="M5" i="11"/>
  <c r="N87" i="11"/>
  <c r="N89" i="11" s="1"/>
  <c r="L87" i="11"/>
  <c r="L89" i="11" s="1"/>
  <c r="L7" i="11" s="1"/>
  <c r="L5" i="11"/>
  <c r="AI70" i="11"/>
  <c r="M87" i="11"/>
  <c r="M89" i="11" s="1"/>
  <c r="AE246" i="11" s="1"/>
  <c r="J5" i="11"/>
  <c r="K87" i="11"/>
  <c r="K89" i="11" s="1"/>
  <c r="K7" i="11" s="1"/>
  <c r="I5" i="11"/>
  <c r="J87" i="11"/>
  <c r="J89" i="11" s="1"/>
  <c r="J90" i="11" s="1"/>
  <c r="G87" i="11"/>
  <c r="G89" i="11" s="1"/>
  <c r="G7" i="11" s="1"/>
  <c r="G90" i="11"/>
  <c r="E5" i="11"/>
  <c r="F87" i="11"/>
  <c r="F89" i="11" s="1"/>
  <c r="F90" i="11" s="1"/>
  <c r="E98" i="11"/>
  <c r="D5" i="11"/>
  <c r="D98" i="11"/>
  <c r="AH82" i="11"/>
  <c r="AI66" i="11"/>
  <c r="D87" i="11"/>
  <c r="D89" i="11" s="1"/>
  <c r="D90" i="11" s="1"/>
  <c r="B5" i="11"/>
  <c r="C87" i="11"/>
  <c r="C89" i="11" s="1"/>
  <c r="C7" i="11" s="1"/>
  <c r="B87" i="11"/>
  <c r="B89" i="11" s="1"/>
  <c r="AD7" i="11"/>
  <c r="AV246" i="11"/>
  <c r="AD90" i="11"/>
  <c r="F7" i="11"/>
  <c r="X246" i="11"/>
  <c r="N7" i="11"/>
  <c r="AF246" i="11"/>
  <c r="N90" i="11"/>
  <c r="V7" i="11"/>
  <c r="AN246" i="11"/>
  <c r="V90" i="11"/>
  <c r="Z90" i="11"/>
  <c r="Z7" i="11"/>
  <c r="AR246" i="11"/>
  <c r="M7" i="11"/>
  <c r="B90" i="11"/>
  <c r="B7" i="11"/>
  <c r="T246" i="11"/>
  <c r="R90" i="11"/>
  <c r="R7" i="11"/>
  <c r="AJ246" i="11"/>
  <c r="AC7" i="11"/>
  <c r="AU246" i="11"/>
  <c r="AC90" i="11"/>
  <c r="E7" i="11"/>
  <c r="W246" i="11"/>
  <c r="E90" i="11"/>
  <c r="E267" i="11"/>
  <c r="G231" i="11"/>
  <c r="Y246" i="11"/>
  <c r="H87" i="11"/>
  <c r="H89" i="11" s="1"/>
  <c r="P87" i="11"/>
  <c r="P89" i="11" s="1"/>
  <c r="X87" i="11"/>
  <c r="X89" i="11" s="1"/>
  <c r="AF87" i="11"/>
  <c r="AF89" i="11" s="1"/>
  <c r="AH52" i="11"/>
  <c r="AE90" i="11"/>
  <c r="D232" i="11"/>
  <c r="E226" i="11"/>
  <c r="D108" i="11"/>
  <c r="J229" i="11"/>
  <c r="K229" i="11" s="1"/>
  <c r="L229" i="11" s="1"/>
  <c r="M229" i="11" s="1"/>
  <c r="N229" i="11" s="1"/>
  <c r="O229" i="11" s="1"/>
  <c r="P229" i="11" s="1"/>
  <c r="I87" i="11"/>
  <c r="I89" i="11" s="1"/>
  <c r="Q87" i="11"/>
  <c r="Q89" i="11" s="1"/>
  <c r="Y87" i="11"/>
  <c r="Y89" i="11" s="1"/>
  <c r="AG87" i="11"/>
  <c r="AH70" i="11"/>
  <c r="AH66" i="11"/>
  <c r="S90" i="11"/>
  <c r="S7" i="11"/>
  <c r="AK246" i="11"/>
  <c r="AA90" i="11"/>
  <c r="AA7" i="11"/>
  <c r="AS246" i="11"/>
  <c r="C90" i="11"/>
  <c r="T90" i="11"/>
  <c r="AL246" i="11"/>
  <c r="T7" i="11"/>
  <c r="P5" i="11"/>
  <c r="Q98" i="11"/>
  <c r="O90" i="11"/>
  <c r="L90" i="11"/>
  <c r="AB90" i="11"/>
  <c r="AT246" i="11"/>
  <c r="AB7" i="11"/>
  <c r="H5" i="11"/>
  <c r="I98" i="11"/>
  <c r="X5" i="11"/>
  <c r="Y98" i="11"/>
  <c r="U7" i="11"/>
  <c r="AM246" i="11"/>
  <c r="U90" i="11"/>
  <c r="H98" i="11"/>
  <c r="AF5" i="11"/>
  <c r="B98" i="11"/>
  <c r="AI82" i="11"/>
  <c r="AG2" i="11"/>
  <c r="AG6" i="11" s="1"/>
  <c r="D243" i="11"/>
  <c r="G98" i="11"/>
  <c r="O98" i="11"/>
  <c r="W98" i="11"/>
  <c r="AE98" i="11"/>
  <c r="AI48" i="11"/>
  <c r="AI52" i="11"/>
  <c r="B232" i="11"/>
  <c r="AH48" i="11"/>
  <c r="Q111" i="10"/>
  <c r="K49" i="10"/>
  <c r="B108" i="10"/>
  <c r="B82" i="10"/>
  <c r="B98" i="10" s="1"/>
  <c r="B70" i="10"/>
  <c r="B66" i="10"/>
  <c r="B52" i="10"/>
  <c r="B48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C267" i="10"/>
  <c r="B267" i="10"/>
  <c r="S24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D232" i="10"/>
  <c r="C232" i="10"/>
  <c r="E231" i="10"/>
  <c r="D267" i="10" s="1"/>
  <c r="D231" i="10"/>
  <c r="B231" i="10"/>
  <c r="AF267" i="10" s="1"/>
  <c r="D230" i="10"/>
  <c r="E230" i="10" s="1"/>
  <c r="F230" i="10" s="1"/>
  <c r="G230" i="10" s="1"/>
  <c r="H230" i="10" s="1"/>
  <c r="I230" i="10" s="1"/>
  <c r="J230" i="10" s="1"/>
  <c r="K230" i="10" s="1"/>
  <c r="L230" i="10" s="1"/>
  <c r="M230" i="10" s="1"/>
  <c r="N230" i="10" s="1"/>
  <c r="O230" i="10" s="1"/>
  <c r="P230" i="10" s="1"/>
  <c r="B230" i="10"/>
  <c r="E229" i="10"/>
  <c r="F229" i="10" s="1"/>
  <c r="G229" i="10" s="1"/>
  <c r="H229" i="10" s="1"/>
  <c r="I229" i="10" s="1"/>
  <c r="D229" i="10"/>
  <c r="B229" i="10"/>
  <c r="E228" i="10"/>
  <c r="F228" i="10" s="1"/>
  <c r="G228" i="10" s="1"/>
  <c r="H228" i="10" s="1"/>
  <c r="D228" i="10"/>
  <c r="B228" i="10"/>
  <c r="E227" i="10"/>
  <c r="F227" i="10" s="1"/>
  <c r="G227" i="10" s="1"/>
  <c r="H227" i="10" s="1"/>
  <c r="I227" i="10" s="1"/>
  <c r="J227" i="10" s="1"/>
  <c r="K227" i="10" s="1"/>
  <c r="L227" i="10" s="1"/>
  <c r="M227" i="10" s="1"/>
  <c r="N227" i="10" s="1"/>
  <c r="O227" i="10" s="1"/>
  <c r="P227" i="10" s="1"/>
  <c r="D227" i="10"/>
  <c r="B227" i="10"/>
  <c r="E226" i="10"/>
  <c r="F226" i="10" s="1"/>
  <c r="D226" i="10"/>
  <c r="B226" i="10"/>
  <c r="B232" i="10" s="1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I117" i="10"/>
  <c r="AH117" i="10"/>
  <c r="AI116" i="10"/>
  <c r="AH116" i="10"/>
  <c r="AI115" i="10"/>
  <c r="AH115" i="10"/>
  <c r="AI114" i="10"/>
  <c r="AH114" i="10"/>
  <c r="AI113" i="10"/>
  <c r="AH113" i="10"/>
  <c r="AI112" i="10"/>
  <c r="AH112" i="10"/>
  <c r="AI111" i="10"/>
  <c r="AH111" i="10"/>
  <c r="AI110" i="10"/>
  <c r="AH110" i="10"/>
  <c r="AI109" i="10"/>
  <c r="AH109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E108" i="10"/>
  <c r="D108" i="10"/>
  <c r="C108" i="10"/>
  <c r="AI107" i="10"/>
  <c r="AH107" i="10"/>
  <c r="AI106" i="10"/>
  <c r="AH106" i="10"/>
  <c r="AI105" i="10"/>
  <c r="AH105" i="10"/>
  <c r="AI104" i="10"/>
  <c r="AH104" i="10"/>
  <c r="AI103" i="10"/>
  <c r="AH103" i="10"/>
  <c r="AI102" i="10"/>
  <c r="AH102" i="10"/>
  <c r="AI101" i="10"/>
  <c r="AH101" i="10"/>
  <c r="AI100" i="10"/>
  <c r="AH100" i="10"/>
  <c r="AI99" i="10"/>
  <c r="AH99" i="10"/>
  <c r="AI97" i="10"/>
  <c r="AH97" i="10"/>
  <c r="AI96" i="10"/>
  <c r="AH96" i="10"/>
  <c r="AI95" i="10"/>
  <c r="AH95" i="10"/>
  <c r="AI94" i="10"/>
  <c r="AH94" i="10"/>
  <c r="AI93" i="10"/>
  <c r="AH93" i="10"/>
  <c r="AI92" i="10"/>
  <c r="AH92" i="10"/>
  <c r="AI91" i="10"/>
  <c r="AH91" i="10"/>
  <c r="AI88" i="10"/>
  <c r="AH88" i="10"/>
  <c r="AI86" i="10"/>
  <c r="AH86" i="10"/>
  <c r="AG86" i="10"/>
  <c r="AI85" i="10"/>
  <c r="AH85" i="10"/>
  <c r="AI84" i="10"/>
  <c r="AH84" i="10"/>
  <c r="AI83" i="10"/>
  <c r="AH83" i="10"/>
  <c r="AN82" i="10"/>
  <c r="AG82" i="10"/>
  <c r="AF82" i="10"/>
  <c r="AF98" i="10" s="1"/>
  <c r="AE82" i="10"/>
  <c r="AE98" i="10" s="1"/>
  <c r="AD82" i="10"/>
  <c r="AD98" i="10" s="1"/>
  <c r="AC82" i="10"/>
  <c r="AC98" i="10" s="1"/>
  <c r="AB82" i="10"/>
  <c r="AB98" i="10" s="1"/>
  <c r="AA82" i="10"/>
  <c r="AA98" i="10" s="1"/>
  <c r="Z82" i="10"/>
  <c r="Z98" i="10" s="1"/>
  <c r="Y82" i="10"/>
  <c r="Y98" i="10" s="1"/>
  <c r="X82" i="10"/>
  <c r="X98" i="10" s="1"/>
  <c r="W82" i="10"/>
  <c r="W98" i="10" s="1"/>
  <c r="V82" i="10"/>
  <c r="V98" i="10" s="1"/>
  <c r="U82" i="10"/>
  <c r="U98" i="10" s="1"/>
  <c r="T82" i="10"/>
  <c r="T98" i="10" s="1"/>
  <c r="S82" i="10"/>
  <c r="S98" i="10" s="1"/>
  <c r="R82" i="10"/>
  <c r="R98" i="10" s="1"/>
  <c r="Q82" i="10"/>
  <c r="Q98" i="10" s="1"/>
  <c r="P82" i="10"/>
  <c r="P98" i="10" s="1"/>
  <c r="O82" i="10"/>
  <c r="O98" i="10" s="1"/>
  <c r="N82" i="10"/>
  <c r="N98" i="10" s="1"/>
  <c r="M82" i="10"/>
  <c r="M98" i="10" s="1"/>
  <c r="L82" i="10"/>
  <c r="L98" i="10" s="1"/>
  <c r="K82" i="10"/>
  <c r="K98" i="10" s="1"/>
  <c r="J82" i="10"/>
  <c r="J98" i="10" s="1"/>
  <c r="I82" i="10"/>
  <c r="I98" i="10" s="1"/>
  <c r="H82" i="10"/>
  <c r="H98" i="10" s="1"/>
  <c r="G82" i="10"/>
  <c r="G98" i="10" s="1"/>
  <c r="F82" i="10"/>
  <c r="F98" i="10" s="1"/>
  <c r="E82" i="10"/>
  <c r="E98" i="10" s="1"/>
  <c r="D82" i="10"/>
  <c r="D98" i="10" s="1"/>
  <c r="C82" i="10"/>
  <c r="C98" i="10" s="1"/>
  <c r="AI81" i="10"/>
  <c r="AH81" i="10"/>
  <c r="AN80" i="10"/>
  <c r="AI80" i="10"/>
  <c r="AH80" i="10"/>
  <c r="AN79" i="10"/>
  <c r="AN81" i="10" s="1"/>
  <c r="AI79" i="10"/>
  <c r="AH79" i="10"/>
  <c r="AI78" i="10"/>
  <c r="AH78" i="10"/>
  <c r="AI77" i="10"/>
  <c r="AH77" i="10"/>
  <c r="AI76" i="10"/>
  <c r="AH76" i="10"/>
  <c r="AI75" i="10"/>
  <c r="AH75" i="10"/>
  <c r="AI74" i="10"/>
  <c r="AH74" i="10"/>
  <c r="AI73" i="10"/>
  <c r="AH73" i="10"/>
  <c r="AI72" i="10"/>
  <c r="AH72" i="10"/>
  <c r="AI71" i="10"/>
  <c r="AH71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AI69" i="10"/>
  <c r="AH69" i="10"/>
  <c r="AI68" i="10"/>
  <c r="AH68" i="10"/>
  <c r="AI67" i="10"/>
  <c r="AH67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I65" i="10"/>
  <c r="AH65" i="10"/>
  <c r="AG65" i="10"/>
  <c r="AG66" i="10" s="1"/>
  <c r="AG3" i="10" s="1"/>
  <c r="AG6" i="10" s="1"/>
  <c r="AI64" i="10"/>
  <c r="AH64" i="10"/>
  <c r="AI63" i="10"/>
  <c r="AH63" i="10"/>
  <c r="AI62" i="10"/>
  <c r="AH62" i="10"/>
  <c r="AI61" i="10"/>
  <c r="AH61" i="10"/>
  <c r="AI60" i="10"/>
  <c r="AH60" i="10"/>
  <c r="AI59" i="10"/>
  <c r="AH59" i="10"/>
  <c r="AI58" i="10"/>
  <c r="AH58" i="10"/>
  <c r="AI57" i="10"/>
  <c r="AH57" i="10"/>
  <c r="AI56" i="10"/>
  <c r="AH56" i="10"/>
  <c r="AI55" i="10"/>
  <c r="AH55" i="10"/>
  <c r="AI54" i="10"/>
  <c r="AH54" i="10"/>
  <c r="AI53" i="10"/>
  <c r="AH53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AI51" i="10"/>
  <c r="AH51" i="10"/>
  <c r="AI50" i="10"/>
  <c r="AH50" i="10"/>
  <c r="AI49" i="10"/>
  <c r="AH49" i="10"/>
  <c r="AG48" i="10"/>
  <c r="AG87" i="10" s="1"/>
  <c r="AF48" i="10"/>
  <c r="AE48" i="10"/>
  <c r="AD48" i="10"/>
  <c r="AD87" i="10" s="1"/>
  <c r="AD89" i="10" s="1"/>
  <c r="AC48" i="10"/>
  <c r="AB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I38" i="10"/>
  <c r="AH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I13" i="10"/>
  <c r="AH13" i="10"/>
  <c r="AI12" i="10"/>
  <c r="AH12" i="10"/>
  <c r="AI11" i="10"/>
  <c r="AH11" i="10"/>
  <c r="AE5" i="10"/>
  <c r="AC5" i="10"/>
  <c r="Z5" i="10"/>
  <c r="U5" i="10"/>
  <c r="Q5" i="10"/>
  <c r="O5" i="10"/>
  <c r="AG4" i="10"/>
  <c r="K4" i="10"/>
  <c r="E4" i="10"/>
  <c r="H4" i="10" s="1"/>
  <c r="B4" i="10"/>
  <c r="S243" i="10" s="1"/>
  <c r="AG2" i="10"/>
  <c r="AA111" i="9"/>
  <c r="Y48" i="9"/>
  <c r="Y52" i="9"/>
  <c r="Y66" i="9"/>
  <c r="Y70" i="9"/>
  <c r="Y82" i="9"/>
  <c r="Y98" i="9" s="1"/>
  <c r="Y108" i="9"/>
  <c r="X48" i="9"/>
  <c r="X52" i="9"/>
  <c r="X66" i="9"/>
  <c r="X70" i="9"/>
  <c r="X82" i="9"/>
  <c r="X98" i="9" s="1"/>
  <c r="X108" i="9"/>
  <c r="W48" i="9"/>
  <c r="W52" i="9"/>
  <c r="W66" i="9"/>
  <c r="W70" i="9"/>
  <c r="W82" i="9"/>
  <c r="W98" i="9" s="1"/>
  <c r="W108" i="9"/>
  <c r="T111" i="9"/>
  <c r="A7" i="12" l="1"/>
  <c r="K6" i="12"/>
  <c r="AI90" i="12"/>
  <c r="AH90" i="12"/>
  <c r="H267" i="12"/>
  <c r="J231" i="12"/>
  <c r="I226" i="12"/>
  <c r="H108" i="12"/>
  <c r="H232" i="12"/>
  <c r="AE7" i="11"/>
  <c r="AO246" i="11"/>
  <c r="W7" i="11"/>
  <c r="W90" i="11"/>
  <c r="AD246" i="11"/>
  <c r="O7" i="11"/>
  <c r="M90" i="11"/>
  <c r="AC246" i="11"/>
  <c r="K90" i="11"/>
  <c r="AB246" i="11"/>
  <c r="J7" i="11"/>
  <c r="V246" i="11"/>
  <c r="D7" i="11"/>
  <c r="U246" i="11"/>
  <c r="AH89" i="11"/>
  <c r="Y90" i="11"/>
  <c r="AQ246" i="11"/>
  <c r="Y7" i="11"/>
  <c r="H231" i="11"/>
  <c r="F267" i="11"/>
  <c r="Q90" i="11"/>
  <c r="AI246" i="11"/>
  <c r="Q7" i="11"/>
  <c r="AX246" i="11"/>
  <c r="AF90" i="11"/>
  <c r="AF7" i="11"/>
  <c r="I90" i="11"/>
  <c r="AA246" i="11"/>
  <c r="I7" i="11"/>
  <c r="AP246" i="11"/>
  <c r="X7" i="11"/>
  <c r="X90" i="11"/>
  <c r="AH246" i="11"/>
  <c r="P90" i="11"/>
  <c r="P7" i="11"/>
  <c r="AI87" i="11"/>
  <c r="Z246" i="11"/>
  <c r="H90" i="11"/>
  <c r="H7" i="11"/>
  <c r="AH98" i="11"/>
  <c r="AI98" i="11"/>
  <c r="AH87" i="11"/>
  <c r="F226" i="11"/>
  <c r="E232" i="11"/>
  <c r="E108" i="11"/>
  <c r="B241" i="11"/>
  <c r="AI89" i="11"/>
  <c r="C241" i="11"/>
  <c r="AF87" i="10"/>
  <c r="AF89" i="10" s="1"/>
  <c r="AD5" i="10"/>
  <c r="AE87" i="10"/>
  <c r="AE89" i="10" s="1"/>
  <c r="AB5" i="10"/>
  <c r="AC87" i="10"/>
  <c r="AC89" i="10" s="1"/>
  <c r="AA5" i="10"/>
  <c r="AB87" i="10"/>
  <c r="AB89" i="10" s="1"/>
  <c r="AA87" i="10"/>
  <c r="AA89" i="10" s="1"/>
  <c r="Y5" i="10"/>
  <c r="Z87" i="10"/>
  <c r="Z89" i="10" s="1"/>
  <c r="X5" i="10"/>
  <c r="Y87" i="10"/>
  <c r="Y89" i="10" s="1"/>
  <c r="V5" i="10"/>
  <c r="W5" i="10"/>
  <c r="X87" i="10"/>
  <c r="X89" i="10" s="1"/>
  <c r="W87" i="10"/>
  <c r="W89" i="10" s="1"/>
  <c r="V87" i="10"/>
  <c r="V89" i="10" s="1"/>
  <c r="T5" i="10"/>
  <c r="U87" i="10"/>
  <c r="U89" i="10" s="1"/>
  <c r="S5" i="10"/>
  <c r="T87" i="10"/>
  <c r="T89" i="10" s="1"/>
  <c r="R5" i="10"/>
  <c r="S87" i="10"/>
  <c r="S89" i="10" s="1"/>
  <c r="R87" i="10"/>
  <c r="R89" i="10" s="1"/>
  <c r="P5" i="10"/>
  <c r="Q87" i="10"/>
  <c r="Q89" i="10" s="1"/>
  <c r="AI70" i="10"/>
  <c r="P87" i="10"/>
  <c r="P89" i="10" s="1"/>
  <c r="N5" i="10"/>
  <c r="O87" i="10"/>
  <c r="O89" i="10" s="1"/>
  <c r="M5" i="10"/>
  <c r="N87" i="10"/>
  <c r="N89" i="10" s="1"/>
  <c r="L5" i="10"/>
  <c r="M87" i="10"/>
  <c r="M89" i="10" s="1"/>
  <c r="M7" i="10" s="1"/>
  <c r="K5" i="10"/>
  <c r="L87" i="10"/>
  <c r="L89" i="10" s="1"/>
  <c r="L90" i="10" s="1"/>
  <c r="J5" i="10"/>
  <c r="K87" i="10"/>
  <c r="K89" i="10" s="1"/>
  <c r="K90" i="10" s="1"/>
  <c r="I5" i="10"/>
  <c r="AI52" i="10"/>
  <c r="J87" i="10"/>
  <c r="J89" i="10" s="1"/>
  <c r="AB246" i="10" s="1"/>
  <c r="I87" i="10"/>
  <c r="I89" i="10" s="1"/>
  <c r="H5" i="10"/>
  <c r="G5" i="10"/>
  <c r="H87" i="10"/>
  <c r="H89" i="10" s="1"/>
  <c r="H7" i="10" s="1"/>
  <c r="F5" i="10"/>
  <c r="E5" i="10"/>
  <c r="G87" i="10"/>
  <c r="G89" i="10" s="1"/>
  <c r="F87" i="10"/>
  <c r="F89" i="10" s="1"/>
  <c r="F7" i="10" s="1"/>
  <c r="D5" i="10"/>
  <c r="E87" i="10"/>
  <c r="E89" i="10" s="1"/>
  <c r="W246" i="10" s="1"/>
  <c r="C5" i="10"/>
  <c r="D87" i="10"/>
  <c r="D89" i="10" s="1"/>
  <c r="D90" i="10" s="1"/>
  <c r="B5" i="10"/>
  <c r="C87" i="10"/>
  <c r="C89" i="10" s="1"/>
  <c r="C90" i="10" s="1"/>
  <c r="AI66" i="10"/>
  <c r="AF5" i="10"/>
  <c r="B87" i="10"/>
  <c r="B89" i="10" s="1"/>
  <c r="B90" i="10" s="1"/>
  <c r="P90" i="10"/>
  <c r="P7" i="10"/>
  <c r="AH246" i="10"/>
  <c r="X90" i="10"/>
  <c r="X7" i="10"/>
  <c r="AP246" i="10"/>
  <c r="AF90" i="10"/>
  <c r="AF7" i="10"/>
  <c r="AX246" i="10"/>
  <c r="I90" i="10"/>
  <c r="I7" i="10"/>
  <c r="AA246" i="10"/>
  <c r="Q90" i="10"/>
  <c r="Q7" i="10"/>
  <c r="AI246" i="10"/>
  <c r="Y90" i="10"/>
  <c r="Y7" i="10"/>
  <c r="AQ246" i="10"/>
  <c r="J90" i="10"/>
  <c r="S90" i="10"/>
  <c r="S7" i="10"/>
  <c r="AK246" i="10"/>
  <c r="AA90" i="10"/>
  <c r="AA7" i="10"/>
  <c r="AS246" i="10"/>
  <c r="G226" i="10"/>
  <c r="F108" i="10"/>
  <c r="F232" i="10"/>
  <c r="Z90" i="10"/>
  <c r="Z7" i="10"/>
  <c r="AR246" i="10"/>
  <c r="T90" i="10"/>
  <c r="T7" i="10"/>
  <c r="AL246" i="10"/>
  <c r="AB90" i="10"/>
  <c r="AB7" i="10"/>
  <c r="AT246" i="10"/>
  <c r="J229" i="10"/>
  <c r="K229" i="10" s="1"/>
  <c r="L229" i="10" s="1"/>
  <c r="M229" i="10" s="1"/>
  <c r="N229" i="10" s="1"/>
  <c r="O229" i="10" s="1"/>
  <c r="P229" i="10" s="1"/>
  <c r="U7" i="10"/>
  <c r="AM246" i="10"/>
  <c r="U90" i="10"/>
  <c r="AC7" i="10"/>
  <c r="AU246" i="10"/>
  <c r="AC90" i="10"/>
  <c r="R90" i="10"/>
  <c r="R7" i="10"/>
  <c r="AJ246" i="10"/>
  <c r="V246" i="10"/>
  <c r="N7" i="10"/>
  <c r="AF246" i="10"/>
  <c r="N90" i="10"/>
  <c r="V7" i="10"/>
  <c r="AN246" i="10"/>
  <c r="V90" i="10"/>
  <c r="AD7" i="10"/>
  <c r="AV246" i="10"/>
  <c r="AD90" i="10"/>
  <c r="AG89" i="10"/>
  <c r="X246" i="10"/>
  <c r="F90" i="10"/>
  <c r="AG246" i="10"/>
  <c r="O90" i="10"/>
  <c r="O7" i="10"/>
  <c r="AO246" i="10"/>
  <c r="W90" i="10"/>
  <c r="W7" i="10"/>
  <c r="AW246" i="10"/>
  <c r="AE90" i="10"/>
  <c r="AE7" i="10"/>
  <c r="AI98" i="10"/>
  <c r="AH98" i="10"/>
  <c r="AH70" i="10"/>
  <c r="E232" i="10"/>
  <c r="D243" i="10"/>
  <c r="AH66" i="10"/>
  <c r="F231" i="10"/>
  <c r="AH82" i="10"/>
  <c r="AH48" i="10"/>
  <c r="AH52" i="10"/>
  <c r="AI82" i="10"/>
  <c r="AI48" i="10"/>
  <c r="Y87" i="9"/>
  <c r="Y89" i="9" s="1"/>
  <c r="Y90" i="9" s="1"/>
  <c r="W87" i="9"/>
  <c r="W89" i="9" s="1"/>
  <c r="W90" i="9" s="1"/>
  <c r="X87" i="9"/>
  <c r="X89" i="9" s="1"/>
  <c r="X90" i="9" s="1"/>
  <c r="S111" i="9"/>
  <c r="S48" i="9"/>
  <c r="I108" i="12" l="1"/>
  <c r="J226" i="12"/>
  <c r="K231" i="12"/>
  <c r="I267" i="12"/>
  <c r="AI90" i="11"/>
  <c r="AH90" i="11"/>
  <c r="A7" i="11"/>
  <c r="G267" i="11"/>
  <c r="I231" i="11"/>
  <c r="K6" i="11"/>
  <c r="G226" i="11"/>
  <c r="F108" i="11"/>
  <c r="F232" i="11"/>
  <c r="H90" i="10"/>
  <c r="M90" i="10"/>
  <c r="AE246" i="10"/>
  <c r="AD246" i="10"/>
  <c r="L7" i="10"/>
  <c r="AC246" i="10"/>
  <c r="K7" i="10"/>
  <c r="J7" i="10"/>
  <c r="Z246" i="10"/>
  <c r="C241" i="10"/>
  <c r="Y246" i="10"/>
  <c r="G90" i="10"/>
  <c r="G7" i="10"/>
  <c r="B241" i="10"/>
  <c r="E90" i="10"/>
  <c r="E7" i="10"/>
  <c r="D7" i="10"/>
  <c r="U246" i="10"/>
  <c r="C7" i="10"/>
  <c r="AH87" i="10"/>
  <c r="AI87" i="10"/>
  <c r="H226" i="10"/>
  <c r="E267" i="10"/>
  <c r="G231" i="10"/>
  <c r="AI89" i="10"/>
  <c r="AH89" i="10"/>
  <c r="B7" i="10"/>
  <c r="T246" i="10"/>
  <c r="J267" i="12" l="1"/>
  <c r="L231" i="12"/>
  <c r="J108" i="12"/>
  <c r="K226" i="12"/>
  <c r="H226" i="11"/>
  <c r="G108" i="11"/>
  <c r="G232" i="11"/>
  <c r="H267" i="11"/>
  <c r="J231" i="11"/>
  <c r="K6" i="10"/>
  <c r="A7" i="10"/>
  <c r="F267" i="10"/>
  <c r="H231" i="10"/>
  <c r="G232" i="10"/>
  <c r="G108" i="10"/>
  <c r="I226" i="10"/>
  <c r="H108" i="10"/>
  <c r="H232" i="10"/>
  <c r="AI90" i="10"/>
  <c r="AH90" i="10"/>
  <c r="L226" i="12" l="1"/>
  <c r="K108" i="12"/>
  <c r="K267" i="12"/>
  <c r="M231" i="12"/>
  <c r="K231" i="11"/>
  <c r="I267" i="11"/>
  <c r="I226" i="11"/>
  <c r="H232" i="11"/>
  <c r="J226" i="10"/>
  <c r="G267" i="10"/>
  <c r="I231" i="10"/>
  <c r="L267" i="12" l="1"/>
  <c r="N231" i="12"/>
  <c r="M226" i="12"/>
  <c r="L108" i="12"/>
  <c r="J226" i="11"/>
  <c r="J267" i="11"/>
  <c r="L231" i="11"/>
  <c r="H267" i="10"/>
  <c r="J231" i="10"/>
  <c r="J108" i="10"/>
  <c r="K226" i="10"/>
  <c r="I108" i="10"/>
  <c r="N226" i="12" l="1"/>
  <c r="M108" i="12"/>
  <c r="M267" i="12"/>
  <c r="O231" i="12"/>
  <c r="J108" i="11"/>
  <c r="K226" i="11"/>
  <c r="M231" i="11"/>
  <c r="K267" i="11"/>
  <c r="L226" i="10"/>
  <c r="K108" i="10"/>
  <c r="K231" i="10"/>
  <c r="I267" i="10"/>
  <c r="N267" i="12" l="1"/>
  <c r="P231" i="12"/>
  <c r="O267" i="12" s="1"/>
  <c r="O226" i="12"/>
  <c r="N108" i="12"/>
  <c r="L267" i="11"/>
  <c r="N231" i="11"/>
  <c r="K108" i="11"/>
  <c r="L226" i="11"/>
  <c r="J267" i="10"/>
  <c r="L231" i="10"/>
  <c r="M226" i="10"/>
  <c r="L108" i="10"/>
  <c r="P226" i="12" l="1"/>
  <c r="O108" i="12"/>
  <c r="M226" i="11"/>
  <c r="L108" i="11"/>
  <c r="M267" i="11"/>
  <c r="O231" i="11"/>
  <c r="N226" i="10"/>
  <c r="K267" i="10"/>
  <c r="M231" i="10"/>
  <c r="AI108" i="12" l="1"/>
  <c r="AH108" i="12"/>
  <c r="P231" i="11"/>
  <c r="O267" i="11" s="1"/>
  <c r="N267" i="11"/>
  <c r="N226" i="11"/>
  <c r="M108" i="11"/>
  <c r="L267" i="10"/>
  <c r="N231" i="10"/>
  <c r="M108" i="10"/>
  <c r="O226" i="10"/>
  <c r="N108" i="10"/>
  <c r="N108" i="11" l="1"/>
  <c r="O226" i="11"/>
  <c r="P226" i="10"/>
  <c r="M267" i="10"/>
  <c r="O231" i="10"/>
  <c r="P226" i="11" l="1"/>
  <c r="O108" i="11"/>
  <c r="N267" i="10"/>
  <c r="P231" i="10"/>
  <c r="O267" i="10" s="1"/>
  <c r="O108" i="10"/>
  <c r="AI108" i="11" l="1"/>
  <c r="AH108" i="11"/>
  <c r="AH108" i="10"/>
  <c r="AI108" i="10"/>
  <c r="P111" i="9" l="1"/>
  <c r="P48" i="9"/>
  <c r="P52" i="9"/>
  <c r="O111" i="9"/>
  <c r="M111" i="9" l="1"/>
  <c r="AF271" i="9" l="1"/>
  <c r="AE271" i="9"/>
  <c r="AD271" i="9"/>
  <c r="AC271" i="9"/>
  <c r="AB271" i="9"/>
  <c r="AA271" i="9"/>
  <c r="Z271" i="9"/>
  <c r="Y271" i="9"/>
  <c r="X271" i="9"/>
  <c r="W271" i="9"/>
  <c r="V271" i="9"/>
  <c r="U271" i="9"/>
  <c r="T271" i="9"/>
  <c r="S271" i="9"/>
  <c r="R271" i="9"/>
  <c r="Q271" i="9"/>
  <c r="P271" i="9"/>
  <c r="O271" i="9"/>
  <c r="N271" i="9"/>
  <c r="M271" i="9"/>
  <c r="L271" i="9"/>
  <c r="K271" i="9"/>
  <c r="J271" i="9"/>
  <c r="I271" i="9"/>
  <c r="H271" i="9"/>
  <c r="G271" i="9"/>
  <c r="F271" i="9"/>
  <c r="E271" i="9"/>
  <c r="D271" i="9"/>
  <c r="C271" i="9"/>
  <c r="B271" i="9"/>
  <c r="A271" i="9"/>
  <c r="AF270" i="9"/>
  <c r="AE270" i="9"/>
  <c r="AD270" i="9"/>
  <c r="AC270" i="9"/>
  <c r="AB270" i="9"/>
  <c r="AA270" i="9"/>
  <c r="Z270" i="9"/>
  <c r="Y270" i="9"/>
  <c r="X270" i="9"/>
  <c r="W270" i="9"/>
  <c r="V270" i="9"/>
  <c r="U270" i="9"/>
  <c r="T270" i="9"/>
  <c r="S270" i="9"/>
  <c r="R270" i="9"/>
  <c r="Q270" i="9"/>
  <c r="P270" i="9"/>
  <c r="O270" i="9"/>
  <c r="N270" i="9"/>
  <c r="M270" i="9"/>
  <c r="L270" i="9"/>
  <c r="K270" i="9"/>
  <c r="J270" i="9"/>
  <c r="I270" i="9"/>
  <c r="H270" i="9"/>
  <c r="G270" i="9"/>
  <c r="F270" i="9"/>
  <c r="E270" i="9"/>
  <c r="D270" i="9"/>
  <c r="C270" i="9"/>
  <c r="B270" i="9"/>
  <c r="A270" i="9"/>
  <c r="AF269" i="9"/>
  <c r="AE269" i="9"/>
  <c r="AD269" i="9"/>
  <c r="AC269" i="9"/>
  <c r="AB269" i="9"/>
  <c r="AA269" i="9"/>
  <c r="Z269" i="9"/>
  <c r="Y269" i="9"/>
  <c r="X269" i="9"/>
  <c r="W269" i="9"/>
  <c r="V269" i="9"/>
  <c r="U269" i="9"/>
  <c r="T269" i="9"/>
  <c r="S269" i="9"/>
  <c r="R269" i="9"/>
  <c r="Q269" i="9"/>
  <c r="P269" i="9"/>
  <c r="O269" i="9"/>
  <c r="N269" i="9"/>
  <c r="M269" i="9"/>
  <c r="L269" i="9"/>
  <c r="K269" i="9"/>
  <c r="J269" i="9"/>
  <c r="I269" i="9"/>
  <c r="H269" i="9"/>
  <c r="G269" i="9"/>
  <c r="F269" i="9"/>
  <c r="E269" i="9"/>
  <c r="D269" i="9"/>
  <c r="C269" i="9"/>
  <c r="B269" i="9"/>
  <c r="A269" i="9"/>
  <c r="AF268" i="9"/>
  <c r="AE268" i="9"/>
  <c r="AD268" i="9"/>
  <c r="AC268" i="9"/>
  <c r="AB268" i="9"/>
  <c r="AA268" i="9"/>
  <c r="Z268" i="9"/>
  <c r="Y268" i="9"/>
  <c r="X268" i="9"/>
  <c r="W268" i="9"/>
  <c r="V268" i="9"/>
  <c r="U268" i="9"/>
  <c r="T268" i="9"/>
  <c r="S268" i="9"/>
  <c r="R268" i="9"/>
  <c r="Q268" i="9"/>
  <c r="P268" i="9"/>
  <c r="O268" i="9"/>
  <c r="N268" i="9"/>
  <c r="M268" i="9"/>
  <c r="L268" i="9"/>
  <c r="K268" i="9"/>
  <c r="J268" i="9"/>
  <c r="I268" i="9"/>
  <c r="H268" i="9"/>
  <c r="G268" i="9"/>
  <c r="F268" i="9"/>
  <c r="E268" i="9"/>
  <c r="D268" i="9"/>
  <c r="C268" i="9"/>
  <c r="B268" i="9"/>
  <c r="A268" i="9"/>
  <c r="AE267" i="9"/>
  <c r="AD267" i="9"/>
  <c r="AC267" i="9"/>
  <c r="AB267" i="9"/>
  <c r="AA267" i="9"/>
  <c r="Z267" i="9"/>
  <c r="Y267" i="9"/>
  <c r="X267" i="9"/>
  <c r="W267" i="9"/>
  <c r="V267" i="9"/>
  <c r="U267" i="9"/>
  <c r="T267" i="9"/>
  <c r="S267" i="9"/>
  <c r="R267" i="9"/>
  <c r="Q267" i="9"/>
  <c r="P267" i="9"/>
  <c r="C267" i="9"/>
  <c r="B267" i="9"/>
  <c r="S242" i="9"/>
  <c r="AG232" i="9"/>
  <c r="AF232" i="9"/>
  <c r="AE232" i="9"/>
  <c r="AD232" i="9"/>
  <c r="AC232" i="9"/>
  <c r="AB232" i="9"/>
  <c r="AA232" i="9"/>
  <c r="Z232" i="9"/>
  <c r="Y232" i="9"/>
  <c r="X232" i="9"/>
  <c r="W232" i="9"/>
  <c r="V232" i="9"/>
  <c r="U232" i="9"/>
  <c r="T232" i="9"/>
  <c r="S232" i="9"/>
  <c r="R232" i="9"/>
  <c r="Q232" i="9"/>
  <c r="C232" i="9"/>
  <c r="F231" i="9"/>
  <c r="E267" i="9" s="1"/>
  <c r="E231" i="9"/>
  <c r="D267" i="9" s="1"/>
  <c r="D231" i="9"/>
  <c r="B231" i="9"/>
  <c r="AF267" i="9" s="1"/>
  <c r="D230" i="9"/>
  <c r="E230" i="9" s="1"/>
  <c r="F230" i="9" s="1"/>
  <c r="G230" i="9" s="1"/>
  <c r="H230" i="9" s="1"/>
  <c r="I230" i="9" s="1"/>
  <c r="J230" i="9" s="1"/>
  <c r="K230" i="9" s="1"/>
  <c r="L230" i="9" s="1"/>
  <c r="M230" i="9" s="1"/>
  <c r="N230" i="9" s="1"/>
  <c r="O230" i="9" s="1"/>
  <c r="P230" i="9" s="1"/>
  <c r="B230" i="9"/>
  <c r="D229" i="9"/>
  <c r="E229" i="9" s="1"/>
  <c r="F229" i="9" s="1"/>
  <c r="G229" i="9" s="1"/>
  <c r="H229" i="9" s="1"/>
  <c r="I229" i="9" s="1"/>
  <c r="B229" i="9"/>
  <c r="E228" i="9"/>
  <c r="F228" i="9" s="1"/>
  <c r="G228" i="9" s="1"/>
  <c r="H228" i="9" s="1"/>
  <c r="D228" i="9"/>
  <c r="B228" i="9"/>
  <c r="F227" i="9"/>
  <c r="G227" i="9" s="1"/>
  <c r="H227" i="9" s="1"/>
  <c r="I227" i="9" s="1"/>
  <c r="J227" i="9" s="1"/>
  <c r="K227" i="9" s="1"/>
  <c r="L227" i="9" s="1"/>
  <c r="M227" i="9" s="1"/>
  <c r="N227" i="9" s="1"/>
  <c r="O227" i="9" s="1"/>
  <c r="P227" i="9" s="1"/>
  <c r="E227" i="9"/>
  <c r="D227" i="9"/>
  <c r="B227" i="9"/>
  <c r="D226" i="9"/>
  <c r="D232" i="9" s="1"/>
  <c r="B226" i="9"/>
  <c r="B232" i="9" s="1"/>
  <c r="AG224" i="9"/>
  <c r="AF224" i="9"/>
  <c r="AE224" i="9"/>
  <c r="AD224" i="9"/>
  <c r="AC224" i="9"/>
  <c r="AB224" i="9"/>
  <c r="AA224" i="9"/>
  <c r="Z224" i="9"/>
  <c r="Y224" i="9"/>
  <c r="X224" i="9"/>
  <c r="W224" i="9"/>
  <c r="V224" i="9"/>
  <c r="U224" i="9"/>
  <c r="T224" i="9"/>
  <c r="S224" i="9"/>
  <c r="R224" i="9"/>
  <c r="Q224" i="9"/>
  <c r="P224" i="9"/>
  <c r="O224" i="9"/>
  <c r="N224" i="9"/>
  <c r="M224" i="9"/>
  <c r="L224" i="9"/>
  <c r="K224" i="9"/>
  <c r="J224" i="9"/>
  <c r="I224" i="9"/>
  <c r="H224" i="9"/>
  <c r="G224" i="9"/>
  <c r="F224" i="9"/>
  <c r="E224" i="9"/>
  <c r="D224" i="9"/>
  <c r="C224" i="9"/>
  <c r="B224" i="9"/>
  <c r="AI117" i="9"/>
  <c r="AH117" i="9"/>
  <c r="AI116" i="9"/>
  <c r="AH116" i="9"/>
  <c r="AI115" i="9"/>
  <c r="AH115" i="9"/>
  <c r="AI114" i="9"/>
  <c r="AH114" i="9"/>
  <c r="AI113" i="9"/>
  <c r="AH113" i="9"/>
  <c r="AI112" i="9"/>
  <c r="AH112" i="9"/>
  <c r="AI111" i="9"/>
  <c r="AH111" i="9"/>
  <c r="AI110" i="9"/>
  <c r="AH110" i="9"/>
  <c r="AI109" i="9"/>
  <c r="AH109" i="9"/>
  <c r="AF108" i="9"/>
  <c r="AE108" i="9"/>
  <c r="AD108" i="9"/>
  <c r="AC108" i="9"/>
  <c r="AB108" i="9"/>
  <c r="AA108" i="9"/>
  <c r="V108" i="9"/>
  <c r="U108" i="9"/>
  <c r="T108" i="9"/>
  <c r="S108" i="9"/>
  <c r="R108" i="9"/>
  <c r="Q108" i="9"/>
  <c r="D108" i="9"/>
  <c r="C108" i="9"/>
  <c r="B108" i="9"/>
  <c r="AI107" i="9"/>
  <c r="AH107" i="9"/>
  <c r="AI106" i="9"/>
  <c r="AH106" i="9"/>
  <c r="AI105" i="9"/>
  <c r="AH105" i="9"/>
  <c r="AI104" i="9"/>
  <c r="AH104" i="9"/>
  <c r="AI103" i="9"/>
  <c r="AH103" i="9"/>
  <c r="AI102" i="9"/>
  <c r="AH102" i="9"/>
  <c r="AI101" i="9"/>
  <c r="AH101" i="9"/>
  <c r="AI100" i="9"/>
  <c r="AH100" i="9"/>
  <c r="AI99" i="9"/>
  <c r="AH99" i="9"/>
  <c r="AI97" i="9"/>
  <c r="AH97" i="9"/>
  <c r="AI96" i="9"/>
  <c r="AH96" i="9"/>
  <c r="AI95" i="9"/>
  <c r="AH95" i="9"/>
  <c r="AI94" i="9"/>
  <c r="AH94" i="9"/>
  <c r="AI93" i="9"/>
  <c r="AH93" i="9"/>
  <c r="AI92" i="9"/>
  <c r="AH92" i="9"/>
  <c r="AI91" i="9"/>
  <c r="AH91" i="9"/>
  <c r="AI88" i="9"/>
  <c r="AH88" i="9"/>
  <c r="AI86" i="9"/>
  <c r="AH86" i="9"/>
  <c r="AG86" i="9"/>
  <c r="AI85" i="9"/>
  <c r="AH85" i="9"/>
  <c r="AI84" i="9"/>
  <c r="AH84" i="9"/>
  <c r="AI83" i="9"/>
  <c r="AH83" i="9"/>
  <c r="AN82" i="9"/>
  <c r="AG82" i="9"/>
  <c r="AF82" i="9"/>
  <c r="AF98" i="9" s="1"/>
  <c r="AE82" i="9"/>
  <c r="AE98" i="9" s="1"/>
  <c r="AD82" i="9"/>
  <c r="AD98" i="9" s="1"/>
  <c r="AC82" i="9"/>
  <c r="AC98" i="9" s="1"/>
  <c r="AB82" i="9"/>
  <c r="AB98" i="9" s="1"/>
  <c r="AA82" i="9"/>
  <c r="AA98" i="9" s="1"/>
  <c r="V82" i="9"/>
  <c r="V98" i="9" s="1"/>
  <c r="U82" i="9"/>
  <c r="U98" i="9" s="1"/>
  <c r="T82" i="9"/>
  <c r="T98" i="9" s="1"/>
  <c r="S82" i="9"/>
  <c r="S98" i="9" s="1"/>
  <c r="R82" i="9"/>
  <c r="R98" i="9" s="1"/>
  <c r="Q82" i="9"/>
  <c r="Q98" i="9" s="1"/>
  <c r="P82" i="9"/>
  <c r="P98" i="9" s="1"/>
  <c r="O82" i="9"/>
  <c r="O98" i="9" s="1"/>
  <c r="N82" i="9"/>
  <c r="N98" i="9" s="1"/>
  <c r="M82" i="9"/>
  <c r="M98" i="9" s="1"/>
  <c r="L82" i="9"/>
  <c r="L98" i="9" s="1"/>
  <c r="K82" i="9"/>
  <c r="K98" i="9" s="1"/>
  <c r="J82" i="9"/>
  <c r="J98" i="9" s="1"/>
  <c r="I82" i="9"/>
  <c r="I98" i="9" s="1"/>
  <c r="H82" i="9"/>
  <c r="H98" i="9" s="1"/>
  <c r="G82" i="9"/>
  <c r="G98" i="9" s="1"/>
  <c r="F82" i="9"/>
  <c r="F98" i="9" s="1"/>
  <c r="E82" i="9"/>
  <c r="E98" i="9" s="1"/>
  <c r="D82" i="9"/>
  <c r="D98" i="9" s="1"/>
  <c r="C82" i="9"/>
  <c r="C98" i="9" s="1"/>
  <c r="B82" i="9"/>
  <c r="B98" i="9" s="1"/>
  <c r="AN81" i="9"/>
  <c r="AI81" i="9"/>
  <c r="AH81" i="9"/>
  <c r="AN80" i="9"/>
  <c r="AI80" i="9"/>
  <c r="AH80" i="9"/>
  <c r="AN79" i="9"/>
  <c r="AI79" i="9"/>
  <c r="AH79" i="9"/>
  <c r="AI78" i="9"/>
  <c r="AH78" i="9"/>
  <c r="AI77" i="9"/>
  <c r="AH77" i="9"/>
  <c r="AI76" i="9"/>
  <c r="AH76" i="9"/>
  <c r="AI75" i="9"/>
  <c r="AH75" i="9"/>
  <c r="AI74" i="9"/>
  <c r="AH74" i="9"/>
  <c r="AI73" i="9"/>
  <c r="AH73" i="9"/>
  <c r="AI72" i="9"/>
  <c r="AH72" i="9"/>
  <c r="AI71" i="9"/>
  <c r="AH71" i="9"/>
  <c r="AG70" i="9"/>
  <c r="AF70" i="9"/>
  <c r="AE70" i="9"/>
  <c r="AD70" i="9"/>
  <c r="AC70" i="9"/>
  <c r="AB70" i="9"/>
  <c r="AA70" i="9"/>
  <c r="V70" i="9"/>
  <c r="U70" i="9"/>
  <c r="T70" i="9"/>
  <c r="S70" i="9"/>
  <c r="R70" i="9"/>
  <c r="Q70" i="9"/>
  <c r="P70" i="9"/>
  <c r="O70" i="9"/>
  <c r="N70" i="9"/>
  <c r="M70" i="9"/>
  <c r="L70" i="9"/>
  <c r="B70" i="9"/>
  <c r="AI69" i="9"/>
  <c r="AH69" i="9"/>
  <c r="AI68" i="9"/>
  <c r="AH68" i="9"/>
  <c r="AI67" i="9"/>
  <c r="AH67" i="9"/>
  <c r="AF66" i="9"/>
  <c r="AE66" i="9"/>
  <c r="AD66" i="9"/>
  <c r="AC66" i="9"/>
  <c r="AB66" i="9"/>
  <c r="AA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AI65" i="9"/>
  <c r="AH65" i="9"/>
  <c r="AG65" i="9"/>
  <c r="AG66" i="9" s="1"/>
  <c r="AG3" i="9" s="1"/>
  <c r="AI64" i="9"/>
  <c r="AH64" i="9"/>
  <c r="AI63" i="9"/>
  <c r="AH63" i="9"/>
  <c r="AI62" i="9"/>
  <c r="AH62" i="9"/>
  <c r="AI61" i="9"/>
  <c r="AH61" i="9"/>
  <c r="AI60" i="9"/>
  <c r="AH60" i="9"/>
  <c r="AI59" i="9"/>
  <c r="AH59" i="9"/>
  <c r="AI58" i="9"/>
  <c r="AH58" i="9"/>
  <c r="AI57" i="9"/>
  <c r="AH57" i="9"/>
  <c r="AI56" i="9"/>
  <c r="AH56" i="9"/>
  <c r="AI55" i="9"/>
  <c r="AH55" i="9"/>
  <c r="AI54" i="9"/>
  <c r="AH54" i="9"/>
  <c r="AI53" i="9"/>
  <c r="AH53" i="9"/>
  <c r="AG52" i="9"/>
  <c r="AF52" i="9"/>
  <c r="AE52" i="9"/>
  <c r="AD52" i="9"/>
  <c r="AC52" i="9"/>
  <c r="AB52" i="9"/>
  <c r="AA52" i="9"/>
  <c r="V52" i="9"/>
  <c r="U52" i="9"/>
  <c r="T52" i="9"/>
  <c r="S52" i="9"/>
  <c r="R52" i="9"/>
  <c r="Q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I51" i="9"/>
  <c r="AH51" i="9"/>
  <c r="AI50" i="9"/>
  <c r="AH50" i="9"/>
  <c r="AI49" i="9"/>
  <c r="AH49" i="9"/>
  <c r="AG48" i="9"/>
  <c r="AG87" i="9" s="1"/>
  <c r="AF48" i="9"/>
  <c r="AE48" i="9"/>
  <c r="AD48" i="9"/>
  <c r="AC48" i="9"/>
  <c r="AB48" i="9"/>
  <c r="V48" i="9"/>
  <c r="U48" i="9"/>
  <c r="T48" i="9"/>
  <c r="R48" i="9"/>
  <c r="Q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I38" i="9"/>
  <c r="AH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I13" i="9"/>
  <c r="AH13" i="9"/>
  <c r="AI12" i="9"/>
  <c r="AH12" i="9"/>
  <c r="AI11" i="9"/>
  <c r="AH11" i="9"/>
  <c r="AA5" i="9"/>
  <c r="Y5" i="9"/>
  <c r="X5" i="9"/>
  <c r="W5" i="9"/>
  <c r="V5" i="9"/>
  <c r="AG4" i="9"/>
  <c r="K4" i="9"/>
  <c r="E4" i="9"/>
  <c r="H4" i="9" s="1"/>
  <c r="B4" i="9"/>
  <c r="S243" i="9" s="1"/>
  <c r="AG2" i="9"/>
  <c r="AC111" i="8"/>
  <c r="R111" i="8"/>
  <c r="P88" i="8"/>
  <c r="P111" i="8"/>
  <c r="O111" i="8"/>
  <c r="AE5" i="9" l="1"/>
  <c r="AF87" i="9"/>
  <c r="AF89" i="9" s="1"/>
  <c r="AF7" i="9" s="1"/>
  <c r="AD5" i="9"/>
  <c r="AE87" i="9"/>
  <c r="AE89" i="9" s="1"/>
  <c r="AC5" i="9"/>
  <c r="AD87" i="9"/>
  <c r="AD89" i="9" s="1"/>
  <c r="AD7" i="9" s="1"/>
  <c r="AB5" i="9"/>
  <c r="AC87" i="9"/>
  <c r="AC89" i="9" s="1"/>
  <c r="AC90" i="9" s="1"/>
  <c r="AB87" i="9"/>
  <c r="AB89" i="9" s="1"/>
  <c r="AB90" i="9" s="1"/>
  <c r="Z5" i="9"/>
  <c r="AA87" i="9"/>
  <c r="AA89" i="9" s="1"/>
  <c r="U5" i="9"/>
  <c r="V87" i="9"/>
  <c r="V89" i="9" s="1"/>
  <c r="V7" i="9" s="1"/>
  <c r="S5" i="9"/>
  <c r="T87" i="9"/>
  <c r="T89" i="9" s="1"/>
  <c r="T90" i="9" s="1"/>
  <c r="T5" i="9"/>
  <c r="U87" i="9"/>
  <c r="U89" i="9" s="1"/>
  <c r="U7" i="9" s="1"/>
  <c r="R5" i="9"/>
  <c r="S87" i="9"/>
  <c r="S89" i="9" s="1"/>
  <c r="S90" i="9" s="1"/>
  <c r="Q5" i="9"/>
  <c r="R87" i="9"/>
  <c r="R89" i="9" s="1"/>
  <c r="R90" i="9" s="1"/>
  <c r="P5" i="9"/>
  <c r="Q87" i="9"/>
  <c r="Q89" i="9" s="1"/>
  <c r="P87" i="9"/>
  <c r="P89" i="9" s="1"/>
  <c r="O5" i="9"/>
  <c r="N5" i="9"/>
  <c r="O87" i="9"/>
  <c r="O89" i="9" s="1"/>
  <c r="AG246" i="9" s="1"/>
  <c r="M5" i="9"/>
  <c r="N87" i="9"/>
  <c r="N89" i="9" s="1"/>
  <c r="N7" i="9" s="1"/>
  <c r="L5" i="9"/>
  <c r="AI70" i="9"/>
  <c r="M87" i="9"/>
  <c r="M89" i="9" s="1"/>
  <c r="M7" i="9" s="1"/>
  <c r="K5" i="9"/>
  <c r="L87" i="9"/>
  <c r="L89" i="9" s="1"/>
  <c r="L90" i="9" s="1"/>
  <c r="J5" i="9"/>
  <c r="K87" i="9"/>
  <c r="K89" i="9" s="1"/>
  <c r="AC246" i="9" s="1"/>
  <c r="I5" i="9"/>
  <c r="AI52" i="9"/>
  <c r="I87" i="9"/>
  <c r="I89" i="9" s="1"/>
  <c r="I90" i="9" s="1"/>
  <c r="H5" i="9"/>
  <c r="G5" i="9"/>
  <c r="H87" i="9"/>
  <c r="H89" i="9" s="1"/>
  <c r="F5" i="9"/>
  <c r="G87" i="9"/>
  <c r="G89" i="9" s="1"/>
  <c r="G7" i="9" s="1"/>
  <c r="J87" i="9"/>
  <c r="J89" i="9" s="1"/>
  <c r="AB246" i="9" s="1"/>
  <c r="E5" i="9"/>
  <c r="D5" i="9"/>
  <c r="E87" i="9"/>
  <c r="E89" i="9" s="1"/>
  <c r="E7" i="9" s="1"/>
  <c r="F87" i="9"/>
  <c r="F89" i="9" s="1"/>
  <c r="X246" i="9" s="1"/>
  <c r="D87" i="9"/>
  <c r="D89" i="9" s="1"/>
  <c r="D90" i="9" s="1"/>
  <c r="C5" i="9"/>
  <c r="B5" i="9"/>
  <c r="C87" i="9"/>
  <c r="C89" i="9" s="1"/>
  <c r="C90" i="9" s="1"/>
  <c r="AI66" i="9"/>
  <c r="AF5" i="9"/>
  <c r="B87" i="9"/>
  <c r="Y246" i="9"/>
  <c r="AO246" i="9"/>
  <c r="W7" i="9"/>
  <c r="AW246" i="9"/>
  <c r="AE90" i="9"/>
  <c r="AE7" i="9"/>
  <c r="AG89" i="9"/>
  <c r="AF90" i="9"/>
  <c r="AI98" i="9"/>
  <c r="AH98" i="9"/>
  <c r="Y7" i="9"/>
  <c r="AQ246" i="9"/>
  <c r="AJ246" i="9"/>
  <c r="Z7" i="9"/>
  <c r="AR246" i="9"/>
  <c r="X7" i="9"/>
  <c r="AP246" i="9"/>
  <c r="K90" i="9"/>
  <c r="K7" i="9"/>
  <c r="AA90" i="9"/>
  <c r="AA7" i="9"/>
  <c r="AS246" i="9"/>
  <c r="J229" i="9"/>
  <c r="K229" i="9" s="1"/>
  <c r="L229" i="9" s="1"/>
  <c r="M229" i="9" s="1"/>
  <c r="N229" i="9" s="1"/>
  <c r="O229" i="9" s="1"/>
  <c r="P229" i="9" s="1"/>
  <c r="P90" i="9"/>
  <c r="P7" i="9"/>
  <c r="AH246" i="9"/>
  <c r="AG6" i="9"/>
  <c r="V246" i="9"/>
  <c r="L7" i="9"/>
  <c r="AD246" i="9"/>
  <c r="Q90" i="9"/>
  <c r="Q7" i="9"/>
  <c r="AI246" i="9"/>
  <c r="I7" i="9"/>
  <c r="AA246" i="9"/>
  <c r="AH70" i="9"/>
  <c r="D243" i="9"/>
  <c r="AH66" i="9"/>
  <c r="AH82" i="9"/>
  <c r="E226" i="9"/>
  <c r="G231" i="9"/>
  <c r="AH48" i="9"/>
  <c r="AH52" i="9"/>
  <c r="AI82" i="9"/>
  <c r="AI48" i="9"/>
  <c r="AX246" i="9" l="1"/>
  <c r="AD90" i="9"/>
  <c r="AV246" i="9"/>
  <c r="AT246" i="9"/>
  <c r="AB7" i="9"/>
  <c r="AU246" i="9"/>
  <c r="AC7" i="9"/>
  <c r="V90" i="9"/>
  <c r="AN246" i="9"/>
  <c r="AL246" i="9"/>
  <c r="T7" i="9"/>
  <c r="U90" i="9"/>
  <c r="AM246" i="9"/>
  <c r="S7" i="9"/>
  <c r="AK246" i="9"/>
  <c r="R7" i="9"/>
  <c r="N90" i="9"/>
  <c r="O7" i="9"/>
  <c r="O90" i="9"/>
  <c r="AF246" i="9"/>
  <c r="M90" i="9"/>
  <c r="AE246" i="9"/>
  <c r="J90" i="9"/>
  <c r="J7" i="9"/>
  <c r="C241" i="9"/>
  <c r="Z246" i="9"/>
  <c r="H90" i="9"/>
  <c r="H7" i="9"/>
  <c r="G90" i="9"/>
  <c r="B241" i="9"/>
  <c r="F7" i="9"/>
  <c r="F90" i="9"/>
  <c r="D7" i="9"/>
  <c r="U246" i="9"/>
  <c r="C7" i="9"/>
  <c r="AH87" i="9"/>
  <c r="E90" i="9"/>
  <c r="W246" i="9"/>
  <c r="AI87" i="9"/>
  <c r="B89" i="9"/>
  <c r="T246" i="9" s="1"/>
  <c r="B90" i="9"/>
  <c r="AI89" i="9"/>
  <c r="AH89" i="9"/>
  <c r="B7" i="9"/>
  <c r="F267" i="9"/>
  <c r="H231" i="9"/>
  <c r="F226" i="9"/>
  <c r="E108" i="9"/>
  <c r="E232" i="9"/>
  <c r="A7" i="9" l="1"/>
  <c r="K6" i="9"/>
  <c r="G267" i="9"/>
  <c r="I231" i="9"/>
  <c r="G226" i="9"/>
  <c r="F108" i="9"/>
  <c r="F232" i="9"/>
  <c r="AI90" i="9"/>
  <c r="AH90" i="9"/>
  <c r="H267" i="9" l="1"/>
  <c r="J231" i="9"/>
  <c r="H226" i="9"/>
  <c r="G108" i="9"/>
  <c r="G232" i="9"/>
  <c r="I226" i="9" l="1"/>
  <c r="H108" i="9"/>
  <c r="H232" i="9"/>
  <c r="K231" i="9"/>
  <c r="I267" i="9"/>
  <c r="J267" i="9" l="1"/>
  <c r="L231" i="9"/>
  <c r="I108" i="9"/>
  <c r="J226" i="9"/>
  <c r="J108" i="9" l="1"/>
  <c r="K226" i="9"/>
  <c r="K267" i="9"/>
  <c r="M231" i="9"/>
  <c r="L267" i="9" l="1"/>
  <c r="N231" i="9"/>
  <c r="L226" i="9"/>
  <c r="K108" i="9"/>
  <c r="M226" i="9" l="1"/>
  <c r="L108" i="9"/>
  <c r="M267" i="9"/>
  <c r="O231" i="9"/>
  <c r="N267" i="9" l="1"/>
  <c r="P231" i="9"/>
  <c r="O267" i="9" s="1"/>
  <c r="N226" i="9"/>
  <c r="M108" i="9"/>
  <c r="O226" i="9" l="1"/>
  <c r="N108" i="9"/>
  <c r="P226" i="9" l="1"/>
  <c r="O108" i="9"/>
  <c r="AH108" i="9" l="1"/>
  <c r="AI108" i="9"/>
  <c r="N111" i="8" l="1"/>
  <c r="M111" i="8" l="1"/>
  <c r="K70" i="8"/>
  <c r="I70" i="8"/>
  <c r="J70" i="8"/>
  <c r="H70" i="8" l="1"/>
  <c r="C70" i="7" l="1"/>
  <c r="D70" i="7"/>
  <c r="E70" i="7"/>
  <c r="F70" i="7"/>
  <c r="G70" i="7"/>
  <c r="H70" i="7"/>
  <c r="I70" i="7"/>
  <c r="J70" i="7"/>
  <c r="K70" i="7"/>
  <c r="C70" i="8"/>
  <c r="D70" i="8"/>
  <c r="E70" i="8"/>
  <c r="F70" i="8"/>
  <c r="G70" i="8"/>
  <c r="C111" i="8"/>
  <c r="B111" i="8"/>
  <c r="AF271" i="8"/>
  <c r="AE271" i="8"/>
  <c r="AD271" i="8"/>
  <c r="AC271" i="8"/>
  <c r="AB271" i="8"/>
  <c r="AA271" i="8"/>
  <c r="Z271" i="8"/>
  <c r="Y271" i="8"/>
  <c r="X271" i="8"/>
  <c r="W271" i="8"/>
  <c r="V271" i="8"/>
  <c r="U271" i="8"/>
  <c r="T271" i="8"/>
  <c r="S271" i="8"/>
  <c r="R271" i="8"/>
  <c r="Q271" i="8"/>
  <c r="P271" i="8"/>
  <c r="O271" i="8"/>
  <c r="N271" i="8"/>
  <c r="M271" i="8"/>
  <c r="L271" i="8"/>
  <c r="K271" i="8"/>
  <c r="J271" i="8"/>
  <c r="I271" i="8"/>
  <c r="H271" i="8"/>
  <c r="G271" i="8"/>
  <c r="F271" i="8"/>
  <c r="E271" i="8"/>
  <c r="D271" i="8"/>
  <c r="C271" i="8"/>
  <c r="B271" i="8"/>
  <c r="A271" i="8"/>
  <c r="AF270" i="8"/>
  <c r="AE270" i="8"/>
  <c r="AD270" i="8"/>
  <c r="AC270" i="8"/>
  <c r="AB270" i="8"/>
  <c r="AA270" i="8"/>
  <c r="Z270" i="8"/>
  <c r="Y270" i="8"/>
  <c r="X270" i="8"/>
  <c r="W270" i="8"/>
  <c r="V270" i="8"/>
  <c r="U270" i="8"/>
  <c r="T270" i="8"/>
  <c r="S270" i="8"/>
  <c r="R270" i="8"/>
  <c r="Q270" i="8"/>
  <c r="P270" i="8"/>
  <c r="O270" i="8"/>
  <c r="N270" i="8"/>
  <c r="M270" i="8"/>
  <c r="L270" i="8"/>
  <c r="K270" i="8"/>
  <c r="J270" i="8"/>
  <c r="I270" i="8"/>
  <c r="H270" i="8"/>
  <c r="G270" i="8"/>
  <c r="F270" i="8"/>
  <c r="E270" i="8"/>
  <c r="D270" i="8"/>
  <c r="C270" i="8"/>
  <c r="B270" i="8"/>
  <c r="A270" i="8"/>
  <c r="AF269" i="8"/>
  <c r="AE269" i="8"/>
  <c r="AD269" i="8"/>
  <c r="AC269" i="8"/>
  <c r="AB269" i="8"/>
  <c r="AA269" i="8"/>
  <c r="Z269" i="8"/>
  <c r="Y269" i="8"/>
  <c r="X269" i="8"/>
  <c r="W269" i="8"/>
  <c r="V269" i="8"/>
  <c r="U269" i="8"/>
  <c r="T269" i="8"/>
  <c r="S269" i="8"/>
  <c r="R269" i="8"/>
  <c r="Q269" i="8"/>
  <c r="P269" i="8"/>
  <c r="O269" i="8"/>
  <c r="N269" i="8"/>
  <c r="M269" i="8"/>
  <c r="L269" i="8"/>
  <c r="K269" i="8"/>
  <c r="J269" i="8"/>
  <c r="I269" i="8"/>
  <c r="H269" i="8"/>
  <c r="G269" i="8"/>
  <c r="F269" i="8"/>
  <c r="E269" i="8"/>
  <c r="D269" i="8"/>
  <c r="C269" i="8"/>
  <c r="B269" i="8"/>
  <c r="A269" i="8"/>
  <c r="AF268" i="8"/>
  <c r="AE268" i="8"/>
  <c r="AD268" i="8"/>
  <c r="AC268" i="8"/>
  <c r="AB268" i="8"/>
  <c r="AA268" i="8"/>
  <c r="Z268" i="8"/>
  <c r="Y268" i="8"/>
  <c r="X268" i="8"/>
  <c r="W268" i="8"/>
  <c r="V268" i="8"/>
  <c r="U268" i="8"/>
  <c r="T268" i="8"/>
  <c r="S268" i="8"/>
  <c r="R268" i="8"/>
  <c r="Q268" i="8"/>
  <c r="P268" i="8"/>
  <c r="O268" i="8"/>
  <c r="N268" i="8"/>
  <c r="M268" i="8"/>
  <c r="L268" i="8"/>
  <c r="K268" i="8"/>
  <c r="J268" i="8"/>
  <c r="I268" i="8"/>
  <c r="H268" i="8"/>
  <c r="G268" i="8"/>
  <c r="F268" i="8"/>
  <c r="E268" i="8"/>
  <c r="D268" i="8"/>
  <c r="C268" i="8"/>
  <c r="B268" i="8"/>
  <c r="A268" i="8"/>
  <c r="AE267" i="8"/>
  <c r="AD267" i="8"/>
  <c r="AC267" i="8"/>
  <c r="AB267" i="8"/>
  <c r="AA267" i="8"/>
  <c r="Z267" i="8"/>
  <c r="Y267" i="8"/>
  <c r="X267" i="8"/>
  <c r="W267" i="8"/>
  <c r="V267" i="8"/>
  <c r="U267" i="8"/>
  <c r="T267" i="8"/>
  <c r="S267" i="8"/>
  <c r="R267" i="8"/>
  <c r="Q267" i="8"/>
  <c r="P267" i="8"/>
  <c r="C267" i="8"/>
  <c r="B267" i="8"/>
  <c r="S242" i="8"/>
  <c r="AG232" i="8"/>
  <c r="AG65" i="8" s="1"/>
  <c r="AG66" i="8" s="1"/>
  <c r="AG3" i="8" s="1"/>
  <c r="AG6" i="8" s="1"/>
  <c r="AF232" i="8"/>
  <c r="AE232" i="8"/>
  <c r="AD232" i="8"/>
  <c r="AC232" i="8"/>
  <c r="AB232" i="8"/>
  <c r="AA232" i="8"/>
  <c r="Z232" i="8"/>
  <c r="Y232" i="8"/>
  <c r="X232" i="8"/>
  <c r="W232" i="8"/>
  <c r="V232" i="8"/>
  <c r="U232" i="8"/>
  <c r="T232" i="8"/>
  <c r="S232" i="8"/>
  <c r="R232" i="8"/>
  <c r="Q232" i="8"/>
  <c r="C232" i="8"/>
  <c r="E231" i="8"/>
  <c r="D267" i="8" s="1"/>
  <c r="D231" i="8"/>
  <c r="B231" i="8"/>
  <c r="AF267" i="8" s="1"/>
  <c r="E230" i="8"/>
  <c r="F230" i="8" s="1"/>
  <c r="G230" i="8" s="1"/>
  <c r="H230" i="8" s="1"/>
  <c r="I230" i="8" s="1"/>
  <c r="J230" i="8" s="1"/>
  <c r="K230" i="8" s="1"/>
  <c r="L230" i="8" s="1"/>
  <c r="M230" i="8" s="1"/>
  <c r="N230" i="8" s="1"/>
  <c r="O230" i="8" s="1"/>
  <c r="P230" i="8" s="1"/>
  <c r="D230" i="8"/>
  <c r="B230" i="8"/>
  <c r="D229" i="8"/>
  <c r="D232" i="8" s="1"/>
  <c r="B229" i="8"/>
  <c r="E228" i="8"/>
  <c r="F228" i="8" s="1"/>
  <c r="G228" i="8" s="1"/>
  <c r="H228" i="8" s="1"/>
  <c r="D228" i="8"/>
  <c r="B228" i="8"/>
  <c r="E227" i="8"/>
  <c r="F227" i="8" s="1"/>
  <c r="G227" i="8" s="1"/>
  <c r="H227" i="8" s="1"/>
  <c r="I227" i="8" s="1"/>
  <c r="J227" i="8" s="1"/>
  <c r="K227" i="8" s="1"/>
  <c r="L227" i="8" s="1"/>
  <c r="M227" i="8" s="1"/>
  <c r="N227" i="8" s="1"/>
  <c r="O227" i="8" s="1"/>
  <c r="P227" i="8" s="1"/>
  <c r="D227" i="8"/>
  <c r="B227" i="8"/>
  <c r="E226" i="8"/>
  <c r="F226" i="8" s="1"/>
  <c r="D226" i="8"/>
  <c r="B226" i="8"/>
  <c r="B232" i="8" s="1"/>
  <c r="AG224" i="8"/>
  <c r="AF224" i="8"/>
  <c r="AE224" i="8"/>
  <c r="AD224" i="8"/>
  <c r="AC224" i="8"/>
  <c r="AB224" i="8"/>
  <c r="AA224" i="8"/>
  <c r="Z224" i="8"/>
  <c r="Y224" i="8"/>
  <c r="X224" i="8"/>
  <c r="W224" i="8"/>
  <c r="V224" i="8"/>
  <c r="U224" i="8"/>
  <c r="T224" i="8"/>
  <c r="S224" i="8"/>
  <c r="R224" i="8"/>
  <c r="Q224" i="8"/>
  <c r="P224" i="8"/>
  <c r="O224" i="8"/>
  <c r="N224" i="8"/>
  <c r="M224" i="8"/>
  <c r="L224" i="8"/>
  <c r="K224" i="8"/>
  <c r="J224" i="8"/>
  <c r="I224" i="8"/>
  <c r="H224" i="8"/>
  <c r="G224" i="8"/>
  <c r="F224" i="8"/>
  <c r="E224" i="8"/>
  <c r="D224" i="8"/>
  <c r="C224" i="8"/>
  <c r="B224" i="8"/>
  <c r="AI117" i="8"/>
  <c r="AH117" i="8"/>
  <c r="AI116" i="8"/>
  <c r="AH116" i="8"/>
  <c r="AI115" i="8"/>
  <c r="AH115" i="8"/>
  <c r="AI114" i="8"/>
  <c r="AH114" i="8"/>
  <c r="AI113" i="8"/>
  <c r="AH113" i="8"/>
  <c r="AI112" i="8"/>
  <c r="AH112" i="8"/>
  <c r="AI111" i="8"/>
  <c r="AH111" i="8"/>
  <c r="AI110" i="8"/>
  <c r="AH110" i="8"/>
  <c r="AI109" i="8"/>
  <c r="AH109" i="8"/>
  <c r="AF108" i="8"/>
  <c r="AE108" i="8"/>
  <c r="AD108" i="8"/>
  <c r="AC108" i="8"/>
  <c r="AB108" i="8"/>
  <c r="AA108" i="8"/>
  <c r="Z108" i="8"/>
  <c r="Y108" i="8"/>
  <c r="X108" i="8"/>
  <c r="W108" i="8"/>
  <c r="V108" i="8"/>
  <c r="U108" i="8"/>
  <c r="T108" i="8"/>
  <c r="S108" i="8"/>
  <c r="R108" i="8"/>
  <c r="Q108" i="8"/>
  <c r="D108" i="8"/>
  <c r="C108" i="8"/>
  <c r="AI107" i="8"/>
  <c r="AH107" i="8"/>
  <c r="AI106" i="8"/>
  <c r="AH106" i="8"/>
  <c r="AI105" i="8"/>
  <c r="AH105" i="8"/>
  <c r="AI104" i="8"/>
  <c r="AH104" i="8"/>
  <c r="AI103" i="8"/>
  <c r="AH103" i="8"/>
  <c r="AI102" i="8"/>
  <c r="AH102" i="8"/>
  <c r="AI101" i="8"/>
  <c r="AH101" i="8"/>
  <c r="AI100" i="8"/>
  <c r="AH100" i="8"/>
  <c r="AI99" i="8"/>
  <c r="AH99" i="8"/>
  <c r="AI97" i="8"/>
  <c r="AH97" i="8"/>
  <c r="AI96" i="8"/>
  <c r="AH96" i="8"/>
  <c r="AI95" i="8"/>
  <c r="AH95" i="8"/>
  <c r="AI94" i="8"/>
  <c r="AH94" i="8"/>
  <c r="AI93" i="8"/>
  <c r="AH93" i="8"/>
  <c r="AI92" i="8"/>
  <c r="AH92" i="8"/>
  <c r="AI91" i="8"/>
  <c r="AH91" i="8"/>
  <c r="AI88" i="8"/>
  <c r="AH88" i="8"/>
  <c r="AI86" i="8"/>
  <c r="AH86" i="8"/>
  <c r="AG86" i="8"/>
  <c r="AG89" i="8" s="1"/>
  <c r="AI85" i="8"/>
  <c r="AH85" i="8"/>
  <c r="AI84" i="8"/>
  <c r="AH84" i="8"/>
  <c r="AI83" i="8"/>
  <c r="AH83" i="8"/>
  <c r="AN82" i="8"/>
  <c r="AG82" i="8"/>
  <c r="AF82" i="8"/>
  <c r="AE5" i="8" s="1"/>
  <c r="AE82" i="8"/>
  <c r="AD5" i="8" s="1"/>
  <c r="AD82" i="8"/>
  <c r="AD98" i="8" s="1"/>
  <c r="AC82" i="8"/>
  <c r="AB5" i="8" s="1"/>
  <c r="AB82" i="8"/>
  <c r="AB98" i="8" s="1"/>
  <c r="AA82" i="8"/>
  <c r="AA98" i="8" s="1"/>
  <c r="Z82" i="8"/>
  <c r="Z98" i="8" s="1"/>
  <c r="Y82" i="8"/>
  <c r="Y98" i="8" s="1"/>
  <c r="X82" i="8"/>
  <c r="W5" i="8" s="1"/>
  <c r="W82" i="8"/>
  <c r="V5" i="8" s="1"/>
  <c r="V82" i="8"/>
  <c r="V98" i="8" s="1"/>
  <c r="U82" i="8"/>
  <c r="U98" i="8" s="1"/>
  <c r="T82" i="8"/>
  <c r="T98" i="8" s="1"/>
  <c r="S82" i="8"/>
  <c r="S98" i="8" s="1"/>
  <c r="R82" i="8"/>
  <c r="R98" i="8" s="1"/>
  <c r="Q82" i="8"/>
  <c r="Q98" i="8" s="1"/>
  <c r="P82" i="8"/>
  <c r="O5" i="8" s="1"/>
  <c r="O82" i="8"/>
  <c r="N5" i="8" s="1"/>
  <c r="N82" i="8"/>
  <c r="N98" i="8" s="1"/>
  <c r="M82" i="8"/>
  <c r="M98" i="8" s="1"/>
  <c r="L82" i="8"/>
  <c r="L98" i="8" s="1"/>
  <c r="K82" i="8"/>
  <c r="K98" i="8" s="1"/>
  <c r="J82" i="8"/>
  <c r="J98" i="8" s="1"/>
  <c r="I82" i="8"/>
  <c r="H5" i="8" s="1"/>
  <c r="H82" i="8"/>
  <c r="G5" i="8" s="1"/>
  <c r="G82" i="8"/>
  <c r="F5" i="8" s="1"/>
  <c r="F82" i="8"/>
  <c r="F98" i="8" s="1"/>
  <c r="E82" i="8"/>
  <c r="D5" i="8" s="1"/>
  <c r="D82" i="8"/>
  <c r="D98" i="8" s="1"/>
  <c r="C82" i="8"/>
  <c r="C98" i="8" s="1"/>
  <c r="B82" i="8"/>
  <c r="B98" i="8" s="1"/>
  <c r="AN81" i="8"/>
  <c r="AI81" i="8"/>
  <c r="AH81" i="8"/>
  <c r="AN80" i="8"/>
  <c r="AI80" i="8"/>
  <c r="AH80" i="8"/>
  <c r="AN79" i="8"/>
  <c r="AI79" i="8"/>
  <c r="AH79" i="8"/>
  <c r="AI78" i="8"/>
  <c r="AH78" i="8"/>
  <c r="AI77" i="8"/>
  <c r="AH77" i="8"/>
  <c r="AI76" i="8"/>
  <c r="AH76" i="8"/>
  <c r="AI75" i="8"/>
  <c r="AH75" i="8"/>
  <c r="AI74" i="8"/>
  <c r="AH74" i="8"/>
  <c r="AI73" i="8"/>
  <c r="AH73" i="8"/>
  <c r="AI72" i="8"/>
  <c r="AH72" i="8"/>
  <c r="AI71" i="8"/>
  <c r="AH71" i="8"/>
  <c r="AG70" i="8"/>
  <c r="AG4" i="8" s="1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B70" i="8"/>
  <c r="AI69" i="8"/>
  <c r="AH69" i="8"/>
  <c r="AI68" i="8"/>
  <c r="AH68" i="8"/>
  <c r="AI67" i="8"/>
  <c r="AH67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AI65" i="8"/>
  <c r="AH65" i="8"/>
  <c r="AI64" i="8"/>
  <c r="AH64" i="8"/>
  <c r="AI63" i="8"/>
  <c r="AH63" i="8"/>
  <c r="AI62" i="8"/>
  <c r="AH62" i="8"/>
  <c r="AI61" i="8"/>
  <c r="AH61" i="8"/>
  <c r="AI60" i="8"/>
  <c r="AH60" i="8"/>
  <c r="AI59" i="8"/>
  <c r="AH59" i="8"/>
  <c r="AI58" i="8"/>
  <c r="AH58" i="8"/>
  <c r="AI57" i="8"/>
  <c r="AH57" i="8"/>
  <c r="AI56" i="8"/>
  <c r="AH56" i="8"/>
  <c r="AI55" i="8"/>
  <c r="AH55" i="8"/>
  <c r="AI54" i="8"/>
  <c r="AH54" i="8"/>
  <c r="AI53" i="8"/>
  <c r="AH53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AI51" i="8"/>
  <c r="AH51" i="8"/>
  <c r="AI50" i="8"/>
  <c r="AH50" i="8"/>
  <c r="AI49" i="8"/>
  <c r="AH49" i="8"/>
  <c r="AG48" i="8"/>
  <c r="AG87" i="8" s="1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I38" i="8"/>
  <c r="AH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K4" i="8"/>
  <c r="E4" i="8"/>
  <c r="H4" i="8" s="1"/>
  <c r="B4" i="8"/>
  <c r="S243" i="8" s="1"/>
  <c r="AG2" i="8"/>
  <c r="AF111" i="7"/>
  <c r="AF87" i="8" l="1"/>
  <c r="AF89" i="8" s="1"/>
  <c r="AE98" i="8"/>
  <c r="AE87" i="8"/>
  <c r="AE89" i="8" s="1"/>
  <c r="AE90" i="8" s="1"/>
  <c r="AC5" i="8"/>
  <c r="AD87" i="8"/>
  <c r="AD89" i="8" s="1"/>
  <c r="AD90" i="8" s="1"/>
  <c r="AC98" i="8"/>
  <c r="AC87" i="8"/>
  <c r="AC89" i="8" s="1"/>
  <c r="AU246" i="8" s="1"/>
  <c r="AA5" i="8"/>
  <c r="AB87" i="8"/>
  <c r="AB89" i="8" s="1"/>
  <c r="AT246" i="8" s="1"/>
  <c r="Z5" i="8"/>
  <c r="AA87" i="8"/>
  <c r="AA89" i="8" s="1"/>
  <c r="AS246" i="8" s="1"/>
  <c r="Z87" i="8"/>
  <c r="Z89" i="8" s="1"/>
  <c r="AR246" i="8" s="1"/>
  <c r="X5" i="8"/>
  <c r="Y87" i="8"/>
  <c r="Y89" i="8" s="1"/>
  <c r="Y90" i="8" s="1"/>
  <c r="X87" i="8"/>
  <c r="X89" i="8" s="1"/>
  <c r="X90" i="8" s="1"/>
  <c r="W98" i="8"/>
  <c r="W87" i="8"/>
  <c r="W89" i="8" s="1"/>
  <c r="AO246" i="8" s="1"/>
  <c r="V87" i="8"/>
  <c r="V89" i="8" s="1"/>
  <c r="AN246" i="8" s="1"/>
  <c r="U5" i="8"/>
  <c r="T5" i="8"/>
  <c r="U87" i="8"/>
  <c r="U89" i="8" s="1"/>
  <c r="U7" i="8" s="1"/>
  <c r="S5" i="8"/>
  <c r="T87" i="8"/>
  <c r="T89" i="8" s="1"/>
  <c r="T90" i="8" s="1"/>
  <c r="R5" i="8"/>
  <c r="S87" i="8"/>
  <c r="S89" i="8" s="1"/>
  <c r="R87" i="8"/>
  <c r="R89" i="8" s="1"/>
  <c r="R90" i="8" s="1"/>
  <c r="Q87" i="8"/>
  <c r="Q89" i="8" s="1"/>
  <c r="Q7" i="8" s="1"/>
  <c r="O87" i="8"/>
  <c r="O89" i="8" s="1"/>
  <c r="O98" i="8"/>
  <c r="P87" i="8"/>
  <c r="P89" i="8" s="1"/>
  <c r="P90" i="8" s="1"/>
  <c r="M5" i="8"/>
  <c r="N87" i="8"/>
  <c r="N89" i="8" s="1"/>
  <c r="AF246" i="8" s="1"/>
  <c r="L5" i="8"/>
  <c r="AI70" i="8"/>
  <c r="M87" i="8"/>
  <c r="M89" i="8" s="1"/>
  <c r="M7" i="8" s="1"/>
  <c r="K5" i="8"/>
  <c r="L87" i="8"/>
  <c r="L89" i="8" s="1"/>
  <c r="L90" i="8" s="1"/>
  <c r="J5" i="8"/>
  <c r="K87" i="8"/>
  <c r="K89" i="8" s="1"/>
  <c r="J87" i="8"/>
  <c r="J89" i="8" s="1"/>
  <c r="I87" i="8"/>
  <c r="I89" i="8" s="1"/>
  <c r="H87" i="8"/>
  <c r="H89" i="8" s="1"/>
  <c r="G98" i="8"/>
  <c r="G87" i="8"/>
  <c r="G89" i="8" s="1"/>
  <c r="E5" i="8"/>
  <c r="F87" i="8"/>
  <c r="F89" i="8" s="1"/>
  <c r="X246" i="8" s="1"/>
  <c r="E98" i="8"/>
  <c r="E87" i="8"/>
  <c r="E89" i="8" s="1"/>
  <c r="C5" i="8"/>
  <c r="D87" i="8"/>
  <c r="D89" i="8" s="1"/>
  <c r="D7" i="8" s="1"/>
  <c r="AI48" i="8"/>
  <c r="B5" i="8"/>
  <c r="AI66" i="8"/>
  <c r="AH52" i="8"/>
  <c r="C87" i="8"/>
  <c r="C89" i="8" s="1"/>
  <c r="U246" i="8" s="1"/>
  <c r="V90" i="8"/>
  <c r="V7" i="8"/>
  <c r="AB90" i="8"/>
  <c r="AW246" i="8"/>
  <c r="X7" i="8"/>
  <c r="AF7" i="8"/>
  <c r="AF90" i="8"/>
  <c r="AX246" i="8"/>
  <c r="AD7" i="8"/>
  <c r="AV246" i="8"/>
  <c r="W7" i="8"/>
  <c r="I90" i="8"/>
  <c r="I7" i="8"/>
  <c r="AA246" i="8"/>
  <c r="Y7" i="8"/>
  <c r="AG246" i="8"/>
  <c r="O90" i="8"/>
  <c r="O7" i="8"/>
  <c r="H90" i="8"/>
  <c r="H7" i="8"/>
  <c r="Z246" i="8"/>
  <c r="J90" i="8"/>
  <c r="J7" i="8"/>
  <c r="AB246" i="8"/>
  <c r="Z90" i="8"/>
  <c r="Z7" i="8"/>
  <c r="F90" i="8"/>
  <c r="G226" i="8"/>
  <c r="Y246" i="8"/>
  <c r="S7" i="8"/>
  <c r="S90" i="8"/>
  <c r="AK246" i="8"/>
  <c r="R7" i="8"/>
  <c r="C7" i="8"/>
  <c r="C90" i="8"/>
  <c r="K90" i="8"/>
  <c r="K7" i="8"/>
  <c r="AC246" i="8"/>
  <c r="N7" i="8"/>
  <c r="E7" i="8"/>
  <c r="W246" i="8"/>
  <c r="E90" i="8"/>
  <c r="AC7" i="8"/>
  <c r="AL246" i="8"/>
  <c r="P5" i="8"/>
  <c r="AF5" i="8"/>
  <c r="B87" i="8"/>
  <c r="B108" i="8"/>
  <c r="I5" i="8"/>
  <c r="Q5" i="8"/>
  <c r="Y5" i="8"/>
  <c r="AH70" i="8"/>
  <c r="D243" i="8"/>
  <c r="AH66" i="8"/>
  <c r="H98" i="8"/>
  <c r="P98" i="8"/>
  <c r="X98" i="8"/>
  <c r="AF98" i="8"/>
  <c r="E108" i="8"/>
  <c r="F231" i="8"/>
  <c r="AH82" i="8"/>
  <c r="I98" i="8"/>
  <c r="AH48" i="8"/>
  <c r="AI82" i="8"/>
  <c r="AI52" i="8"/>
  <c r="E229" i="8"/>
  <c r="F229" i="8" s="1"/>
  <c r="G229" i="8" s="1"/>
  <c r="H229" i="8" s="1"/>
  <c r="I229" i="8" s="1"/>
  <c r="U70" i="7"/>
  <c r="S52" i="7"/>
  <c r="S48" i="7"/>
  <c r="AE7" i="8" l="1"/>
  <c r="AC90" i="8"/>
  <c r="AQ246" i="8"/>
  <c r="U90" i="8"/>
  <c r="AJ246" i="8"/>
  <c r="T7" i="8"/>
  <c r="AB7" i="8"/>
  <c r="AA90" i="8"/>
  <c r="AA7" i="8"/>
  <c r="AP246" i="8"/>
  <c r="W90" i="8"/>
  <c r="AM246" i="8"/>
  <c r="Q90" i="8"/>
  <c r="AI246" i="8"/>
  <c r="AH246" i="8"/>
  <c r="P7" i="8"/>
  <c r="N90" i="8"/>
  <c r="M90" i="8"/>
  <c r="AE246" i="8"/>
  <c r="L7" i="8"/>
  <c r="AD246" i="8"/>
  <c r="C241" i="8"/>
  <c r="G7" i="8"/>
  <c r="G90" i="8"/>
  <c r="B241" i="8"/>
  <c r="F7" i="8"/>
  <c r="AH98" i="8"/>
  <c r="AI98" i="8"/>
  <c r="D90" i="8"/>
  <c r="V246" i="8"/>
  <c r="J229" i="8"/>
  <c r="K229" i="8" s="1"/>
  <c r="L229" i="8" s="1"/>
  <c r="M229" i="8" s="1"/>
  <c r="N229" i="8" s="1"/>
  <c r="O229" i="8" s="1"/>
  <c r="P229" i="8" s="1"/>
  <c r="B89" i="8"/>
  <c r="AI87" i="8"/>
  <c r="AH87" i="8"/>
  <c r="F232" i="8"/>
  <c r="E267" i="8"/>
  <c r="G231" i="8"/>
  <c r="G108" i="8" s="1"/>
  <c r="E232" i="8"/>
  <c r="F108" i="8"/>
  <c r="H226" i="8"/>
  <c r="K6" i="8" l="1"/>
  <c r="G232" i="8"/>
  <c r="I226" i="8"/>
  <c r="H108" i="8"/>
  <c r="H232" i="8"/>
  <c r="B7" i="8"/>
  <c r="A7" i="8" s="1"/>
  <c r="AI89" i="8"/>
  <c r="B90" i="8"/>
  <c r="AH89" i="8"/>
  <c r="T246" i="8"/>
  <c r="H231" i="8"/>
  <c r="F267" i="8"/>
  <c r="AH90" i="8" l="1"/>
  <c r="AI90" i="8"/>
  <c r="G267" i="8"/>
  <c r="I231" i="8"/>
  <c r="I108" i="8"/>
  <c r="J226" i="8"/>
  <c r="H267" i="8" l="1"/>
  <c r="J231" i="8"/>
  <c r="J108" i="8"/>
  <c r="K226" i="8"/>
  <c r="L226" i="8" l="1"/>
  <c r="K108" i="8"/>
  <c r="K231" i="8"/>
  <c r="I267" i="8"/>
  <c r="J267" i="8" l="1"/>
  <c r="L231" i="8"/>
  <c r="L108" i="8"/>
  <c r="M226" i="8"/>
  <c r="N226" i="8" l="1"/>
  <c r="K267" i="8"/>
  <c r="M231" i="8"/>
  <c r="L267" i="8" l="1"/>
  <c r="N231" i="8"/>
  <c r="M108" i="8"/>
  <c r="O226" i="8"/>
  <c r="N108" i="8"/>
  <c r="M267" i="8" l="1"/>
  <c r="O231" i="8"/>
  <c r="P226" i="8"/>
  <c r="O108" i="8"/>
  <c r="P231" i="8" l="1"/>
  <c r="O267" i="8" s="1"/>
  <c r="N267" i="8"/>
  <c r="AI108" i="8"/>
  <c r="AH108" i="8"/>
  <c r="O111" i="7" l="1"/>
  <c r="E4" i="7" l="1"/>
  <c r="H4" i="7" s="1"/>
  <c r="B4" i="7"/>
  <c r="S243" i="7" s="1"/>
  <c r="D111" i="7"/>
  <c r="C111" i="7"/>
  <c r="C66" i="7"/>
  <c r="C52" i="7"/>
  <c r="B111" i="7"/>
  <c r="B82" i="7"/>
  <c r="AF5" i="7" s="1"/>
  <c r="B70" i="7"/>
  <c r="B66" i="7"/>
  <c r="B52" i="7"/>
  <c r="B48" i="7"/>
  <c r="AF271" i="7"/>
  <c r="AE271" i="7"/>
  <c r="AD271" i="7"/>
  <c r="AC271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B271" i="7"/>
  <c r="A271" i="7"/>
  <c r="AF270" i="7"/>
  <c r="AE270" i="7"/>
  <c r="AD270" i="7"/>
  <c r="AC270" i="7"/>
  <c r="AB270" i="7"/>
  <c r="AA270" i="7"/>
  <c r="Z270" i="7"/>
  <c r="Y270" i="7"/>
  <c r="X270" i="7"/>
  <c r="W270" i="7"/>
  <c r="V270" i="7"/>
  <c r="U270" i="7"/>
  <c r="T270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C270" i="7"/>
  <c r="B270" i="7"/>
  <c r="A270" i="7"/>
  <c r="AF269" i="7"/>
  <c r="AE269" i="7"/>
  <c r="AD269" i="7"/>
  <c r="AC269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K269" i="7"/>
  <c r="J269" i="7"/>
  <c r="I269" i="7"/>
  <c r="H269" i="7"/>
  <c r="G269" i="7"/>
  <c r="F269" i="7"/>
  <c r="E269" i="7"/>
  <c r="D269" i="7"/>
  <c r="C269" i="7"/>
  <c r="B269" i="7"/>
  <c r="A269" i="7"/>
  <c r="AF268" i="7"/>
  <c r="AE268" i="7"/>
  <c r="AD268" i="7"/>
  <c r="AC268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J268" i="7"/>
  <c r="I268" i="7"/>
  <c r="H268" i="7"/>
  <c r="G268" i="7"/>
  <c r="F268" i="7"/>
  <c r="E268" i="7"/>
  <c r="D268" i="7"/>
  <c r="C268" i="7"/>
  <c r="B268" i="7"/>
  <c r="A268" i="7"/>
  <c r="AE267" i="7"/>
  <c r="AD267" i="7"/>
  <c r="AC267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B267" i="7"/>
  <c r="S242" i="7"/>
  <c r="AG232" i="7"/>
  <c r="AF232" i="7"/>
  <c r="AE232" i="7"/>
  <c r="AD232" i="7"/>
  <c r="AC232" i="7"/>
  <c r="AB232" i="7"/>
  <c r="AA232" i="7"/>
  <c r="Z232" i="7"/>
  <c r="Y232" i="7"/>
  <c r="X232" i="7"/>
  <c r="W232" i="7"/>
  <c r="V232" i="7"/>
  <c r="U232" i="7"/>
  <c r="T232" i="7"/>
  <c r="S232" i="7"/>
  <c r="R232" i="7"/>
  <c r="Q232" i="7"/>
  <c r="C232" i="7"/>
  <c r="D231" i="7"/>
  <c r="C267" i="7" s="1"/>
  <c r="B231" i="7"/>
  <c r="AF267" i="7" s="1"/>
  <c r="D230" i="7"/>
  <c r="E230" i="7" s="1"/>
  <c r="F230" i="7" s="1"/>
  <c r="G230" i="7" s="1"/>
  <c r="H230" i="7" s="1"/>
  <c r="I230" i="7" s="1"/>
  <c r="J230" i="7" s="1"/>
  <c r="K230" i="7" s="1"/>
  <c r="L230" i="7" s="1"/>
  <c r="M230" i="7" s="1"/>
  <c r="N230" i="7" s="1"/>
  <c r="O230" i="7" s="1"/>
  <c r="P230" i="7" s="1"/>
  <c r="B230" i="7"/>
  <c r="D229" i="7"/>
  <c r="E229" i="7" s="1"/>
  <c r="F229" i="7" s="1"/>
  <c r="G229" i="7" s="1"/>
  <c r="H229" i="7" s="1"/>
  <c r="I229" i="7" s="1"/>
  <c r="B229" i="7"/>
  <c r="D228" i="7"/>
  <c r="E228" i="7" s="1"/>
  <c r="F228" i="7" s="1"/>
  <c r="G228" i="7" s="1"/>
  <c r="H228" i="7" s="1"/>
  <c r="B228" i="7"/>
  <c r="B232" i="7" s="1"/>
  <c r="D227" i="7"/>
  <c r="E227" i="7" s="1"/>
  <c r="F227" i="7" s="1"/>
  <c r="G227" i="7" s="1"/>
  <c r="H227" i="7" s="1"/>
  <c r="I227" i="7" s="1"/>
  <c r="J227" i="7" s="1"/>
  <c r="K227" i="7" s="1"/>
  <c r="L227" i="7" s="1"/>
  <c r="M227" i="7" s="1"/>
  <c r="N227" i="7" s="1"/>
  <c r="O227" i="7" s="1"/>
  <c r="P227" i="7" s="1"/>
  <c r="B227" i="7"/>
  <c r="D226" i="7"/>
  <c r="B226" i="7"/>
  <c r="B108" i="7" s="1"/>
  <c r="AG224" i="7"/>
  <c r="AF224" i="7"/>
  <c r="AE224" i="7"/>
  <c r="AD224" i="7"/>
  <c r="AC224" i="7"/>
  <c r="AB224" i="7"/>
  <c r="AA224" i="7"/>
  <c r="Z224" i="7"/>
  <c r="Y224" i="7"/>
  <c r="X224" i="7"/>
  <c r="W224" i="7"/>
  <c r="V224" i="7"/>
  <c r="U224" i="7"/>
  <c r="T224" i="7"/>
  <c r="S224" i="7"/>
  <c r="R224" i="7"/>
  <c r="Q224" i="7"/>
  <c r="P224" i="7"/>
  <c r="O224" i="7"/>
  <c r="N224" i="7"/>
  <c r="M224" i="7"/>
  <c r="L224" i="7"/>
  <c r="K224" i="7"/>
  <c r="J224" i="7"/>
  <c r="I224" i="7"/>
  <c r="H224" i="7"/>
  <c r="G224" i="7"/>
  <c r="F224" i="7"/>
  <c r="E224" i="7"/>
  <c r="D224" i="7"/>
  <c r="C224" i="7"/>
  <c r="B224" i="7"/>
  <c r="AI117" i="7"/>
  <c r="AH117" i="7"/>
  <c r="AI116" i="7"/>
  <c r="AH116" i="7"/>
  <c r="AI115" i="7"/>
  <c r="AH115" i="7"/>
  <c r="AI114" i="7"/>
  <c r="AH114" i="7"/>
  <c r="AI113" i="7"/>
  <c r="AH113" i="7"/>
  <c r="AI112" i="7"/>
  <c r="AH112" i="7"/>
  <c r="AI111" i="7"/>
  <c r="AH111" i="7"/>
  <c r="AI110" i="7"/>
  <c r="AH110" i="7"/>
  <c r="AI109" i="7"/>
  <c r="AH109" i="7"/>
  <c r="AF108" i="7"/>
  <c r="AE108" i="7"/>
  <c r="AD108" i="7"/>
  <c r="AC108" i="7"/>
  <c r="AB108" i="7"/>
  <c r="AA108" i="7"/>
  <c r="Y108" i="7"/>
  <c r="X108" i="7"/>
  <c r="W108" i="7"/>
  <c r="V108" i="7"/>
  <c r="U108" i="7"/>
  <c r="T108" i="7"/>
  <c r="S108" i="7"/>
  <c r="R108" i="7"/>
  <c r="Q108" i="7"/>
  <c r="D108" i="7"/>
  <c r="C108" i="7"/>
  <c r="AI107" i="7"/>
  <c r="AH107" i="7"/>
  <c r="AI106" i="7"/>
  <c r="AH106" i="7"/>
  <c r="AI105" i="7"/>
  <c r="AH105" i="7"/>
  <c r="AI104" i="7"/>
  <c r="AH104" i="7"/>
  <c r="AI103" i="7"/>
  <c r="AH103" i="7"/>
  <c r="AI102" i="7"/>
  <c r="AH102" i="7"/>
  <c r="AI101" i="7"/>
  <c r="AH101" i="7"/>
  <c r="AI100" i="7"/>
  <c r="AH100" i="7"/>
  <c r="AI99" i="7"/>
  <c r="AH99" i="7"/>
  <c r="AI97" i="7"/>
  <c r="AH97" i="7"/>
  <c r="AI96" i="7"/>
  <c r="AH96" i="7"/>
  <c r="AI95" i="7"/>
  <c r="AH95" i="7"/>
  <c r="AI94" i="7"/>
  <c r="AH94" i="7"/>
  <c r="AI93" i="7"/>
  <c r="AH93" i="7"/>
  <c r="AI92" i="7"/>
  <c r="AH92" i="7"/>
  <c r="AI91" i="7"/>
  <c r="AH91" i="7"/>
  <c r="AI88" i="7"/>
  <c r="AH88" i="7"/>
  <c r="AI86" i="7"/>
  <c r="AH86" i="7"/>
  <c r="AG86" i="7"/>
  <c r="AI85" i="7"/>
  <c r="AH85" i="7"/>
  <c r="AI84" i="7"/>
  <c r="AH84" i="7"/>
  <c r="AI83" i="7"/>
  <c r="AH83" i="7"/>
  <c r="AN82" i="7"/>
  <c r="AG82" i="7"/>
  <c r="AF82" i="7"/>
  <c r="AF98" i="7" s="1"/>
  <c r="AE82" i="7"/>
  <c r="AE98" i="7" s="1"/>
  <c r="AD82" i="7"/>
  <c r="AD98" i="7" s="1"/>
  <c r="AC82" i="7"/>
  <c r="AC98" i="7" s="1"/>
  <c r="AB82" i="7"/>
  <c r="AB98" i="7" s="1"/>
  <c r="AA82" i="7"/>
  <c r="AA98" i="7" s="1"/>
  <c r="Y82" i="7"/>
  <c r="Y98" i="7" s="1"/>
  <c r="X82" i="7"/>
  <c r="X98" i="7" s="1"/>
  <c r="W82" i="7"/>
  <c r="W98" i="7" s="1"/>
  <c r="V82" i="7"/>
  <c r="V98" i="7" s="1"/>
  <c r="U82" i="7"/>
  <c r="U98" i="7" s="1"/>
  <c r="T82" i="7"/>
  <c r="T98" i="7" s="1"/>
  <c r="S82" i="7"/>
  <c r="S98" i="7" s="1"/>
  <c r="R82" i="7"/>
  <c r="R98" i="7" s="1"/>
  <c r="Q82" i="7"/>
  <c r="Q98" i="7" s="1"/>
  <c r="P82" i="7"/>
  <c r="P98" i="7" s="1"/>
  <c r="O82" i="7"/>
  <c r="O98" i="7" s="1"/>
  <c r="N82" i="7"/>
  <c r="N98" i="7" s="1"/>
  <c r="M82" i="7"/>
  <c r="M98" i="7" s="1"/>
  <c r="L82" i="7"/>
  <c r="L98" i="7" s="1"/>
  <c r="K82" i="7"/>
  <c r="K98" i="7" s="1"/>
  <c r="J82" i="7"/>
  <c r="J98" i="7" s="1"/>
  <c r="I82" i="7"/>
  <c r="I98" i="7" s="1"/>
  <c r="H82" i="7"/>
  <c r="H98" i="7" s="1"/>
  <c r="G82" i="7"/>
  <c r="G98" i="7" s="1"/>
  <c r="F82" i="7"/>
  <c r="F98" i="7" s="1"/>
  <c r="E82" i="7"/>
  <c r="E98" i="7" s="1"/>
  <c r="D82" i="7"/>
  <c r="D98" i="7" s="1"/>
  <c r="C82" i="7"/>
  <c r="C98" i="7" s="1"/>
  <c r="AI81" i="7"/>
  <c r="AH81" i="7"/>
  <c r="AN80" i="7"/>
  <c r="AI80" i="7"/>
  <c r="AH80" i="7"/>
  <c r="AN79" i="7"/>
  <c r="AN81" i="7" s="1"/>
  <c r="AI79" i="7"/>
  <c r="AH79" i="7"/>
  <c r="AI78" i="7"/>
  <c r="AH78" i="7"/>
  <c r="AI77" i="7"/>
  <c r="AH77" i="7"/>
  <c r="AI76" i="7"/>
  <c r="AH76" i="7"/>
  <c r="AI75" i="7"/>
  <c r="AH75" i="7"/>
  <c r="AI74" i="7"/>
  <c r="AH74" i="7"/>
  <c r="AI73" i="7"/>
  <c r="AH73" i="7"/>
  <c r="AI72" i="7"/>
  <c r="AH72" i="7"/>
  <c r="AI71" i="7"/>
  <c r="AH71" i="7"/>
  <c r="AG70" i="7"/>
  <c r="AF70" i="7"/>
  <c r="AE70" i="7"/>
  <c r="AD70" i="7"/>
  <c r="AC70" i="7"/>
  <c r="AB70" i="7"/>
  <c r="AA70" i="7"/>
  <c r="Y70" i="7"/>
  <c r="X70" i="7"/>
  <c r="W70" i="7"/>
  <c r="V70" i="7"/>
  <c r="T70" i="7"/>
  <c r="S70" i="7"/>
  <c r="R70" i="7"/>
  <c r="Q70" i="7"/>
  <c r="P70" i="7"/>
  <c r="O70" i="7"/>
  <c r="N70" i="7"/>
  <c r="M70" i="7"/>
  <c r="L70" i="7"/>
  <c r="AI69" i="7"/>
  <c r="AH69" i="7"/>
  <c r="AI68" i="7"/>
  <c r="AH68" i="7"/>
  <c r="AI67" i="7"/>
  <c r="AH67" i="7"/>
  <c r="AF66" i="7"/>
  <c r="AE66" i="7"/>
  <c r="AD66" i="7"/>
  <c r="AC66" i="7"/>
  <c r="AB66" i="7"/>
  <c r="AA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AI65" i="7"/>
  <c r="AH65" i="7"/>
  <c r="AG65" i="7"/>
  <c r="AG66" i="7" s="1"/>
  <c r="AG3" i="7" s="1"/>
  <c r="AI64" i="7"/>
  <c r="AH64" i="7"/>
  <c r="AI63" i="7"/>
  <c r="AH63" i="7"/>
  <c r="AI62" i="7"/>
  <c r="AH62" i="7"/>
  <c r="AI61" i="7"/>
  <c r="AH61" i="7"/>
  <c r="AI60" i="7"/>
  <c r="AH60" i="7"/>
  <c r="AI59" i="7"/>
  <c r="AH59" i="7"/>
  <c r="AI58" i="7"/>
  <c r="AH58" i="7"/>
  <c r="AI57" i="7"/>
  <c r="AH57" i="7"/>
  <c r="AI56" i="7"/>
  <c r="AH56" i="7"/>
  <c r="AI55" i="7"/>
  <c r="AH55" i="7"/>
  <c r="AI54" i="7"/>
  <c r="AH54" i="7"/>
  <c r="AI53" i="7"/>
  <c r="AH53" i="7"/>
  <c r="AG52" i="7"/>
  <c r="AF52" i="7"/>
  <c r="AE52" i="7"/>
  <c r="AD52" i="7"/>
  <c r="AC52" i="7"/>
  <c r="AB52" i="7"/>
  <c r="AA52" i="7"/>
  <c r="Y52" i="7"/>
  <c r="X52" i="7"/>
  <c r="W52" i="7"/>
  <c r="V52" i="7"/>
  <c r="U52" i="7"/>
  <c r="T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AI51" i="7"/>
  <c r="AH51" i="7"/>
  <c r="AI50" i="7"/>
  <c r="AH50" i="7"/>
  <c r="AI49" i="7"/>
  <c r="AH49" i="7"/>
  <c r="AG48" i="7"/>
  <c r="AG87" i="7" s="1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AI47" i="7"/>
  <c r="AH47" i="7"/>
  <c r="AI46" i="7"/>
  <c r="AH46" i="7"/>
  <c r="AI45" i="7"/>
  <c r="AH45" i="7"/>
  <c r="AI44" i="7"/>
  <c r="AH44" i="7"/>
  <c r="AI43" i="7"/>
  <c r="AH43" i="7"/>
  <c r="AI42" i="7"/>
  <c r="AH42" i="7"/>
  <c r="AI41" i="7"/>
  <c r="AH41" i="7"/>
  <c r="AI40" i="7"/>
  <c r="AH40" i="7"/>
  <c r="AI39" i="7"/>
  <c r="AH39" i="7"/>
  <c r="AI38" i="7"/>
  <c r="AH38" i="7"/>
  <c r="AI37" i="7"/>
  <c r="AH37" i="7"/>
  <c r="AI36" i="7"/>
  <c r="AH36" i="7"/>
  <c r="AI35" i="7"/>
  <c r="AH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AI21" i="7"/>
  <c r="AH21" i="7"/>
  <c r="AI20" i="7"/>
  <c r="AH20" i="7"/>
  <c r="AI19" i="7"/>
  <c r="AH19" i="7"/>
  <c r="AI18" i="7"/>
  <c r="AH18" i="7"/>
  <c r="AI17" i="7"/>
  <c r="AH17" i="7"/>
  <c r="AI16" i="7"/>
  <c r="AH16" i="7"/>
  <c r="AI15" i="7"/>
  <c r="AH15" i="7"/>
  <c r="AI14" i="7"/>
  <c r="AH14" i="7"/>
  <c r="AI13" i="7"/>
  <c r="AH13" i="7"/>
  <c r="AI12" i="7"/>
  <c r="AH12" i="7"/>
  <c r="AI11" i="7"/>
  <c r="AH11" i="7"/>
  <c r="Y5" i="7"/>
  <c r="X5" i="7"/>
  <c r="Q5" i="7"/>
  <c r="J5" i="7"/>
  <c r="D5" i="7"/>
  <c r="AG4" i="7"/>
  <c r="K4" i="7"/>
  <c r="AG2" i="7"/>
  <c r="AG6" i="7" s="1"/>
  <c r="AF48" i="6"/>
  <c r="AF52" i="6"/>
  <c r="AF66" i="6"/>
  <c r="AD111" i="6"/>
  <c r="AF87" i="7" l="1"/>
  <c r="AF89" i="7" s="1"/>
  <c r="AE5" i="7"/>
  <c r="AD5" i="7"/>
  <c r="AE87" i="7"/>
  <c r="AE89" i="7" s="1"/>
  <c r="AC5" i="7"/>
  <c r="AB5" i="7"/>
  <c r="AB87" i="7"/>
  <c r="AB89" i="7" s="1"/>
  <c r="AA5" i="7"/>
  <c r="Z5" i="7"/>
  <c r="Y87" i="7"/>
  <c r="Y89" i="7" s="1"/>
  <c r="W5" i="7"/>
  <c r="AC87" i="7"/>
  <c r="AC89" i="7" s="1"/>
  <c r="AU246" i="7" s="1"/>
  <c r="X87" i="7"/>
  <c r="X89" i="7" s="1"/>
  <c r="V5" i="7"/>
  <c r="W87" i="7"/>
  <c r="W89" i="7" s="1"/>
  <c r="U5" i="7"/>
  <c r="T5" i="7"/>
  <c r="U87" i="7"/>
  <c r="U89" i="7" s="1"/>
  <c r="AM246" i="7" s="1"/>
  <c r="S5" i="7"/>
  <c r="T87" i="7"/>
  <c r="T89" i="7" s="1"/>
  <c r="R5" i="7"/>
  <c r="P5" i="7"/>
  <c r="Q87" i="7"/>
  <c r="Q89" i="7" s="1"/>
  <c r="O5" i="7"/>
  <c r="P87" i="7"/>
  <c r="P89" i="7" s="1"/>
  <c r="N5" i="7"/>
  <c r="O87" i="7"/>
  <c r="O89" i="7" s="1"/>
  <c r="M5" i="7"/>
  <c r="AI70" i="7"/>
  <c r="L5" i="7"/>
  <c r="M87" i="7"/>
  <c r="M89" i="7" s="1"/>
  <c r="K5" i="7"/>
  <c r="I5" i="7"/>
  <c r="H5" i="7"/>
  <c r="F5" i="7"/>
  <c r="F87" i="7"/>
  <c r="F89" i="7" s="1"/>
  <c r="E5" i="7"/>
  <c r="R87" i="7"/>
  <c r="R89" i="7" s="1"/>
  <c r="R7" i="7" s="1"/>
  <c r="Z7" i="7"/>
  <c r="S87" i="7"/>
  <c r="S89" i="7" s="1"/>
  <c r="S7" i="7" s="1"/>
  <c r="AA87" i="7"/>
  <c r="AA89" i="7" s="1"/>
  <c r="AS246" i="7" s="1"/>
  <c r="D232" i="7"/>
  <c r="N87" i="7"/>
  <c r="N89" i="7" s="1"/>
  <c r="N7" i="7" s="1"/>
  <c r="V87" i="7"/>
  <c r="V89" i="7" s="1"/>
  <c r="V7" i="7" s="1"/>
  <c r="AD87" i="7"/>
  <c r="AD89" i="7" s="1"/>
  <c r="AD90" i="7" s="1"/>
  <c r="AI66" i="7"/>
  <c r="J87" i="7"/>
  <c r="J89" i="7" s="1"/>
  <c r="AB246" i="7" s="1"/>
  <c r="I87" i="7"/>
  <c r="I89" i="7" s="1"/>
  <c r="AA246" i="7" s="1"/>
  <c r="K87" i="7"/>
  <c r="K89" i="7" s="1"/>
  <c r="K90" i="7" s="1"/>
  <c r="L87" i="7"/>
  <c r="L89" i="7" s="1"/>
  <c r="L90" i="7" s="1"/>
  <c r="G87" i="7"/>
  <c r="G89" i="7" s="1"/>
  <c r="Y246" i="7" s="1"/>
  <c r="H87" i="7"/>
  <c r="H89" i="7" s="1"/>
  <c r="G5" i="7"/>
  <c r="AI52" i="7"/>
  <c r="E87" i="7"/>
  <c r="E89" i="7" s="1"/>
  <c r="W246" i="7" s="1"/>
  <c r="C5" i="7"/>
  <c r="D87" i="7"/>
  <c r="D89" i="7" s="1"/>
  <c r="V246" i="7" s="1"/>
  <c r="B5" i="7"/>
  <c r="C87" i="7"/>
  <c r="C89" i="7" s="1"/>
  <c r="U246" i="7" s="1"/>
  <c r="B87" i="7"/>
  <c r="B89" i="7" s="1"/>
  <c r="B90" i="7" s="1"/>
  <c r="B98" i="7"/>
  <c r="AI98" i="7" s="1"/>
  <c r="Q90" i="7"/>
  <c r="Q7" i="7"/>
  <c r="AI246" i="7"/>
  <c r="AC246" i="7"/>
  <c r="T90" i="7"/>
  <c r="T7" i="7"/>
  <c r="AL246" i="7"/>
  <c r="AB90" i="7"/>
  <c r="AB7" i="7"/>
  <c r="AT246" i="7"/>
  <c r="M7" i="7"/>
  <c r="AE246" i="7"/>
  <c r="M90" i="7"/>
  <c r="U7" i="7"/>
  <c r="F7" i="7"/>
  <c r="X246" i="7"/>
  <c r="F90" i="7"/>
  <c r="AG89" i="7"/>
  <c r="Y90" i="7"/>
  <c r="Y7" i="7"/>
  <c r="AQ246" i="7"/>
  <c r="AG246" i="7"/>
  <c r="O90" i="7"/>
  <c r="O7" i="7"/>
  <c r="AO246" i="7"/>
  <c r="W90" i="7"/>
  <c r="W7" i="7"/>
  <c r="AW246" i="7"/>
  <c r="AE90" i="7"/>
  <c r="AE7" i="7"/>
  <c r="P90" i="7"/>
  <c r="P7" i="7"/>
  <c r="AH246" i="7"/>
  <c r="X90" i="7"/>
  <c r="X7" i="7"/>
  <c r="AP246" i="7"/>
  <c r="AF90" i="7"/>
  <c r="AF7" i="7"/>
  <c r="AX246" i="7"/>
  <c r="J229" i="7"/>
  <c r="K229" i="7" s="1"/>
  <c r="L229" i="7" s="1"/>
  <c r="M229" i="7" s="1"/>
  <c r="N229" i="7" s="1"/>
  <c r="O229" i="7" s="1"/>
  <c r="P229" i="7" s="1"/>
  <c r="AH70" i="7"/>
  <c r="D243" i="7"/>
  <c r="AH66" i="7"/>
  <c r="E231" i="7"/>
  <c r="AH82" i="7"/>
  <c r="E226" i="7"/>
  <c r="AH48" i="7"/>
  <c r="AH52" i="7"/>
  <c r="AI82" i="7"/>
  <c r="AI48" i="7"/>
  <c r="D90" i="7" l="1"/>
  <c r="R90" i="7"/>
  <c r="AJ246" i="7"/>
  <c r="AV246" i="7"/>
  <c r="AC90" i="7"/>
  <c r="AC7" i="7"/>
  <c r="AA7" i="7"/>
  <c r="AA90" i="7"/>
  <c r="U90" i="7"/>
  <c r="AR246" i="7"/>
  <c r="S90" i="7"/>
  <c r="J7" i="7"/>
  <c r="K7" i="7"/>
  <c r="I7" i="7"/>
  <c r="I90" i="7"/>
  <c r="J90" i="7"/>
  <c r="AD246" i="7"/>
  <c r="L7" i="7"/>
  <c r="G7" i="7"/>
  <c r="G90" i="7"/>
  <c r="C241" i="7"/>
  <c r="AH87" i="7"/>
  <c r="V90" i="7"/>
  <c r="AN246" i="7"/>
  <c r="AD7" i="7"/>
  <c r="AH98" i="7"/>
  <c r="N90" i="7"/>
  <c r="AF246" i="7"/>
  <c r="AK246" i="7"/>
  <c r="D7" i="7"/>
  <c r="H90" i="7"/>
  <c r="Z246" i="7"/>
  <c r="B241" i="7"/>
  <c r="H7" i="7"/>
  <c r="AI87" i="7"/>
  <c r="E90" i="7"/>
  <c r="E7" i="7"/>
  <c r="C7" i="7"/>
  <c r="C90" i="7"/>
  <c r="AI89" i="7"/>
  <c r="AH89" i="7"/>
  <c r="B7" i="7"/>
  <c r="T246" i="7"/>
  <c r="F226" i="7"/>
  <c r="E108" i="7"/>
  <c r="E232" i="7"/>
  <c r="D267" i="7"/>
  <c r="F231" i="7"/>
  <c r="K6" i="7" l="1"/>
  <c r="A7" i="7"/>
  <c r="G226" i="7"/>
  <c r="F108" i="7"/>
  <c r="F232" i="7"/>
  <c r="E267" i="7"/>
  <c r="G231" i="7"/>
  <c r="AI90" i="7"/>
  <c r="AH90" i="7"/>
  <c r="F267" i="7" l="1"/>
  <c r="H231" i="7"/>
  <c r="H226" i="7"/>
  <c r="G108" i="7"/>
  <c r="G232" i="7"/>
  <c r="I226" i="7" l="1"/>
  <c r="H108" i="7"/>
  <c r="H232" i="7"/>
  <c r="G267" i="7"/>
  <c r="I231" i="7"/>
  <c r="H267" i="7" l="1"/>
  <c r="J231" i="7"/>
  <c r="I108" i="7"/>
  <c r="J226" i="7"/>
  <c r="J108" i="7" l="1"/>
  <c r="K226" i="7"/>
  <c r="K231" i="7"/>
  <c r="I267" i="7"/>
  <c r="J267" i="7" l="1"/>
  <c r="L231" i="7"/>
  <c r="L226" i="7"/>
  <c r="K108" i="7"/>
  <c r="M226" i="7" l="1"/>
  <c r="L108" i="7"/>
  <c r="K267" i="7"/>
  <c r="M231" i="7"/>
  <c r="L267" i="7" l="1"/>
  <c r="N231" i="7"/>
  <c r="N226" i="7"/>
  <c r="M108" i="7"/>
  <c r="O226" i="7" l="1"/>
  <c r="N108" i="7"/>
  <c r="M267" i="7"/>
  <c r="O231" i="7"/>
  <c r="N267" i="7" l="1"/>
  <c r="P231" i="7"/>
  <c r="O267" i="7" s="1"/>
  <c r="P226" i="7"/>
  <c r="O108" i="7"/>
  <c r="AI108" i="7" l="1"/>
  <c r="AH108" i="7"/>
  <c r="AF271" i="6" l="1"/>
  <c r="AE271" i="6"/>
  <c r="AD271" i="6"/>
  <c r="AC271" i="6"/>
  <c r="AB271" i="6"/>
  <c r="AA271" i="6"/>
  <c r="Z271" i="6"/>
  <c r="Y271" i="6"/>
  <c r="X271" i="6"/>
  <c r="W271" i="6"/>
  <c r="V271" i="6"/>
  <c r="U271" i="6"/>
  <c r="T271" i="6"/>
  <c r="S271" i="6"/>
  <c r="R271" i="6"/>
  <c r="Q271" i="6"/>
  <c r="P271" i="6"/>
  <c r="O271" i="6"/>
  <c r="N271" i="6"/>
  <c r="M271" i="6"/>
  <c r="L271" i="6"/>
  <c r="K271" i="6"/>
  <c r="J271" i="6"/>
  <c r="I271" i="6"/>
  <c r="H271" i="6"/>
  <c r="G271" i="6"/>
  <c r="F271" i="6"/>
  <c r="E271" i="6"/>
  <c r="D271" i="6"/>
  <c r="C271" i="6"/>
  <c r="B271" i="6"/>
  <c r="A271" i="6"/>
  <c r="AF270" i="6"/>
  <c r="AE270" i="6"/>
  <c r="AD270" i="6"/>
  <c r="AC270" i="6"/>
  <c r="AB270" i="6"/>
  <c r="AA270" i="6"/>
  <c r="Z270" i="6"/>
  <c r="Y270" i="6"/>
  <c r="X270" i="6"/>
  <c r="W270" i="6"/>
  <c r="V270" i="6"/>
  <c r="U270" i="6"/>
  <c r="T270" i="6"/>
  <c r="S270" i="6"/>
  <c r="R270" i="6"/>
  <c r="Q270" i="6"/>
  <c r="P270" i="6"/>
  <c r="O270" i="6"/>
  <c r="N270" i="6"/>
  <c r="M270" i="6"/>
  <c r="L270" i="6"/>
  <c r="K270" i="6"/>
  <c r="J270" i="6"/>
  <c r="I270" i="6"/>
  <c r="H270" i="6"/>
  <c r="G270" i="6"/>
  <c r="F270" i="6"/>
  <c r="E270" i="6"/>
  <c r="D270" i="6"/>
  <c r="C270" i="6"/>
  <c r="B270" i="6"/>
  <c r="A270" i="6"/>
  <c r="AF269" i="6"/>
  <c r="AE269" i="6"/>
  <c r="AD269" i="6"/>
  <c r="AC269" i="6"/>
  <c r="AB269" i="6"/>
  <c r="AA269" i="6"/>
  <c r="Z269" i="6"/>
  <c r="Y269" i="6"/>
  <c r="X269" i="6"/>
  <c r="W269" i="6"/>
  <c r="V269" i="6"/>
  <c r="U269" i="6"/>
  <c r="T269" i="6"/>
  <c r="S269" i="6"/>
  <c r="R269" i="6"/>
  <c r="Q269" i="6"/>
  <c r="P269" i="6"/>
  <c r="O269" i="6"/>
  <c r="N269" i="6"/>
  <c r="M269" i="6"/>
  <c r="L269" i="6"/>
  <c r="K269" i="6"/>
  <c r="J269" i="6"/>
  <c r="I269" i="6"/>
  <c r="H269" i="6"/>
  <c r="G269" i="6"/>
  <c r="F269" i="6"/>
  <c r="E269" i="6"/>
  <c r="D269" i="6"/>
  <c r="C269" i="6"/>
  <c r="B269" i="6"/>
  <c r="A269" i="6"/>
  <c r="AF268" i="6"/>
  <c r="AE268" i="6"/>
  <c r="AD268" i="6"/>
  <c r="AC268" i="6"/>
  <c r="AB268" i="6"/>
  <c r="AA268" i="6"/>
  <c r="Z268" i="6"/>
  <c r="Y268" i="6"/>
  <c r="X268" i="6"/>
  <c r="W268" i="6"/>
  <c r="V268" i="6"/>
  <c r="U268" i="6"/>
  <c r="T268" i="6"/>
  <c r="S268" i="6"/>
  <c r="R268" i="6"/>
  <c r="Q268" i="6"/>
  <c r="P268" i="6"/>
  <c r="O268" i="6"/>
  <c r="N268" i="6"/>
  <c r="M268" i="6"/>
  <c r="L268" i="6"/>
  <c r="K268" i="6"/>
  <c r="J268" i="6"/>
  <c r="I268" i="6"/>
  <c r="H268" i="6"/>
  <c r="G268" i="6"/>
  <c r="F268" i="6"/>
  <c r="E268" i="6"/>
  <c r="D268" i="6"/>
  <c r="C268" i="6"/>
  <c r="B268" i="6"/>
  <c r="A268" i="6"/>
  <c r="AE267" i="6"/>
  <c r="AD267" i="6"/>
  <c r="AC267" i="6"/>
  <c r="AB267" i="6"/>
  <c r="AA267" i="6"/>
  <c r="Z267" i="6"/>
  <c r="Y267" i="6"/>
  <c r="X267" i="6"/>
  <c r="W267" i="6"/>
  <c r="V267" i="6"/>
  <c r="U267" i="6"/>
  <c r="T267" i="6"/>
  <c r="S267" i="6"/>
  <c r="R267" i="6"/>
  <c r="Q267" i="6"/>
  <c r="P267" i="6"/>
  <c r="B267" i="6"/>
  <c r="S242" i="6"/>
  <c r="AG232" i="6"/>
  <c r="AF232" i="6"/>
  <c r="AE232" i="6"/>
  <c r="AD232" i="6"/>
  <c r="AC232" i="6"/>
  <c r="AB232" i="6"/>
  <c r="AA232" i="6"/>
  <c r="Z232" i="6"/>
  <c r="Y232" i="6"/>
  <c r="X232" i="6"/>
  <c r="W232" i="6"/>
  <c r="V232" i="6"/>
  <c r="U232" i="6"/>
  <c r="T232" i="6"/>
  <c r="S232" i="6"/>
  <c r="R232" i="6"/>
  <c r="Q232" i="6"/>
  <c r="C232" i="6"/>
  <c r="D231" i="6"/>
  <c r="C267" i="6" s="1"/>
  <c r="B231" i="6"/>
  <c r="AF267" i="6" s="1"/>
  <c r="D230" i="6"/>
  <c r="E230" i="6" s="1"/>
  <c r="F230" i="6" s="1"/>
  <c r="G230" i="6" s="1"/>
  <c r="H230" i="6" s="1"/>
  <c r="I230" i="6" s="1"/>
  <c r="J230" i="6" s="1"/>
  <c r="K230" i="6" s="1"/>
  <c r="L230" i="6" s="1"/>
  <c r="M230" i="6" s="1"/>
  <c r="N230" i="6" s="1"/>
  <c r="O230" i="6" s="1"/>
  <c r="P230" i="6" s="1"/>
  <c r="B230" i="6"/>
  <c r="D229" i="6"/>
  <c r="E229" i="6" s="1"/>
  <c r="F229" i="6" s="1"/>
  <c r="G229" i="6" s="1"/>
  <c r="H229" i="6" s="1"/>
  <c r="I229" i="6" s="1"/>
  <c r="B229" i="6"/>
  <c r="D228" i="6"/>
  <c r="E228" i="6" s="1"/>
  <c r="F228" i="6" s="1"/>
  <c r="G228" i="6" s="1"/>
  <c r="H228" i="6" s="1"/>
  <c r="B228" i="6"/>
  <c r="D227" i="6"/>
  <c r="E227" i="6" s="1"/>
  <c r="F227" i="6" s="1"/>
  <c r="G227" i="6" s="1"/>
  <c r="H227" i="6" s="1"/>
  <c r="I227" i="6" s="1"/>
  <c r="J227" i="6" s="1"/>
  <c r="K227" i="6" s="1"/>
  <c r="L227" i="6" s="1"/>
  <c r="M227" i="6" s="1"/>
  <c r="N227" i="6" s="1"/>
  <c r="O227" i="6" s="1"/>
  <c r="P227" i="6" s="1"/>
  <c r="B227" i="6"/>
  <c r="D226" i="6"/>
  <c r="E226" i="6" s="1"/>
  <c r="B226" i="6"/>
  <c r="AG224" i="6"/>
  <c r="AF224" i="6"/>
  <c r="AE224" i="6"/>
  <c r="AD224" i="6"/>
  <c r="AC224" i="6"/>
  <c r="AB224" i="6"/>
  <c r="AA224" i="6"/>
  <c r="Z224" i="6"/>
  <c r="Y224" i="6"/>
  <c r="X224" i="6"/>
  <c r="W224" i="6"/>
  <c r="V224" i="6"/>
  <c r="U224" i="6"/>
  <c r="T224" i="6"/>
  <c r="S224" i="6"/>
  <c r="R224" i="6"/>
  <c r="Q224" i="6"/>
  <c r="P224" i="6"/>
  <c r="O224" i="6"/>
  <c r="N224" i="6"/>
  <c r="M224" i="6"/>
  <c r="L224" i="6"/>
  <c r="K224" i="6"/>
  <c r="J224" i="6"/>
  <c r="I224" i="6"/>
  <c r="H224" i="6"/>
  <c r="G224" i="6"/>
  <c r="F224" i="6"/>
  <c r="E224" i="6"/>
  <c r="D224" i="6"/>
  <c r="C224" i="6"/>
  <c r="B224" i="6"/>
  <c r="AI117" i="6"/>
  <c r="AH117" i="6"/>
  <c r="AI116" i="6"/>
  <c r="AH116" i="6"/>
  <c r="AI115" i="6"/>
  <c r="AH115" i="6"/>
  <c r="AI114" i="6"/>
  <c r="AH114" i="6"/>
  <c r="AI113" i="6"/>
  <c r="AH113" i="6"/>
  <c r="AI112" i="6"/>
  <c r="AH112" i="6"/>
  <c r="AI111" i="6"/>
  <c r="AH111" i="6"/>
  <c r="AI110" i="6"/>
  <c r="AH110" i="6"/>
  <c r="AI109" i="6"/>
  <c r="AH109" i="6"/>
  <c r="AF108" i="6"/>
  <c r="AE108" i="6"/>
  <c r="AD108" i="6"/>
  <c r="AC108" i="6"/>
  <c r="AB108" i="6"/>
  <c r="AA108" i="6"/>
  <c r="Z108" i="6"/>
  <c r="Y108" i="6"/>
  <c r="X108" i="6"/>
  <c r="W108" i="6"/>
  <c r="V108" i="6"/>
  <c r="U108" i="6"/>
  <c r="T108" i="6"/>
  <c r="S108" i="6"/>
  <c r="R108" i="6"/>
  <c r="Q108" i="6"/>
  <c r="D108" i="6"/>
  <c r="C108" i="6"/>
  <c r="AI107" i="6"/>
  <c r="AH107" i="6"/>
  <c r="AI106" i="6"/>
  <c r="AH106" i="6"/>
  <c r="AI105" i="6"/>
  <c r="AH105" i="6"/>
  <c r="AI104" i="6"/>
  <c r="AH104" i="6"/>
  <c r="AI103" i="6"/>
  <c r="AH103" i="6"/>
  <c r="AI102" i="6"/>
  <c r="AH102" i="6"/>
  <c r="AI101" i="6"/>
  <c r="AH101" i="6"/>
  <c r="AI100" i="6"/>
  <c r="AH100" i="6"/>
  <c r="AI99" i="6"/>
  <c r="AH99" i="6"/>
  <c r="AI97" i="6"/>
  <c r="AH97" i="6"/>
  <c r="AI96" i="6"/>
  <c r="AH96" i="6"/>
  <c r="AI95" i="6"/>
  <c r="AH95" i="6"/>
  <c r="AI94" i="6"/>
  <c r="AH94" i="6"/>
  <c r="AI93" i="6"/>
  <c r="AH93" i="6"/>
  <c r="AI92" i="6"/>
  <c r="AH92" i="6"/>
  <c r="AI91" i="6"/>
  <c r="AH91" i="6"/>
  <c r="AI88" i="6"/>
  <c r="AH88" i="6"/>
  <c r="AI86" i="6"/>
  <c r="AH86" i="6"/>
  <c r="AG86" i="6"/>
  <c r="AI85" i="6"/>
  <c r="AH85" i="6"/>
  <c r="AI84" i="6"/>
  <c r="AH84" i="6"/>
  <c r="AI83" i="6"/>
  <c r="AH83" i="6"/>
  <c r="AN82" i="6"/>
  <c r="AG82" i="6"/>
  <c r="AF82" i="6"/>
  <c r="AF98" i="6" s="1"/>
  <c r="AE82" i="6"/>
  <c r="AE98" i="6" s="1"/>
  <c r="AD82" i="6"/>
  <c r="AC5" i="6" s="1"/>
  <c r="AC82" i="6"/>
  <c r="AC98" i="6" s="1"/>
  <c r="AB82" i="6"/>
  <c r="AB98" i="6" s="1"/>
  <c r="AA82" i="6"/>
  <c r="Z5" i="6" s="1"/>
  <c r="Z82" i="6"/>
  <c r="Z98" i="6" s="1"/>
  <c r="Y82" i="6"/>
  <c r="Y98" i="6" s="1"/>
  <c r="X82" i="6"/>
  <c r="X98" i="6" s="1"/>
  <c r="W82" i="6"/>
  <c r="W98" i="6" s="1"/>
  <c r="V82" i="6"/>
  <c r="U5" i="6" s="1"/>
  <c r="U82" i="6"/>
  <c r="U98" i="6" s="1"/>
  <c r="T82" i="6"/>
  <c r="T98" i="6" s="1"/>
  <c r="S82" i="6"/>
  <c r="S98" i="6" s="1"/>
  <c r="R82" i="6"/>
  <c r="R98" i="6" s="1"/>
  <c r="Q82" i="6"/>
  <c r="Q98" i="6" s="1"/>
  <c r="P82" i="6"/>
  <c r="P98" i="6" s="1"/>
  <c r="O82" i="6"/>
  <c r="O98" i="6" s="1"/>
  <c r="N82" i="6"/>
  <c r="M5" i="6" s="1"/>
  <c r="M82" i="6"/>
  <c r="M98" i="6" s="1"/>
  <c r="L82" i="6"/>
  <c r="L98" i="6" s="1"/>
  <c r="K82" i="6"/>
  <c r="K98" i="6" s="1"/>
  <c r="J82" i="6"/>
  <c r="J98" i="6" s="1"/>
  <c r="I82" i="6"/>
  <c r="I98" i="6" s="1"/>
  <c r="H82" i="6"/>
  <c r="H98" i="6" s="1"/>
  <c r="G82" i="6"/>
  <c r="G98" i="6" s="1"/>
  <c r="F82" i="6"/>
  <c r="E5" i="6" s="1"/>
  <c r="E82" i="6"/>
  <c r="E98" i="6" s="1"/>
  <c r="D82" i="6"/>
  <c r="D98" i="6" s="1"/>
  <c r="C82" i="6"/>
  <c r="C98" i="6" s="1"/>
  <c r="AI81" i="6"/>
  <c r="AH81" i="6"/>
  <c r="AN80" i="6"/>
  <c r="AI80" i="6"/>
  <c r="AH80" i="6"/>
  <c r="AN79" i="6"/>
  <c r="AI79" i="6"/>
  <c r="AH79" i="6"/>
  <c r="AI78" i="6"/>
  <c r="AH78" i="6"/>
  <c r="AI77" i="6"/>
  <c r="AH77" i="6"/>
  <c r="AI76" i="6"/>
  <c r="AH76" i="6"/>
  <c r="AI75" i="6"/>
  <c r="AH75" i="6"/>
  <c r="AI74" i="6"/>
  <c r="AH74" i="6"/>
  <c r="AI73" i="6"/>
  <c r="AH73" i="6"/>
  <c r="AI72" i="6"/>
  <c r="AH72" i="6"/>
  <c r="AI71" i="6"/>
  <c r="AH71" i="6"/>
  <c r="AG70" i="6"/>
  <c r="AG4" i="6" s="1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AI69" i="6"/>
  <c r="AH69" i="6"/>
  <c r="AI68" i="6"/>
  <c r="AH68" i="6"/>
  <c r="AI67" i="6"/>
  <c r="AH67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AI65" i="6"/>
  <c r="AH65" i="6"/>
  <c r="AG65" i="6"/>
  <c r="AG66" i="6" s="1"/>
  <c r="AG3" i="6" s="1"/>
  <c r="AI64" i="6"/>
  <c r="AH64" i="6"/>
  <c r="AI63" i="6"/>
  <c r="AH63" i="6"/>
  <c r="AI62" i="6"/>
  <c r="AH62" i="6"/>
  <c r="AI61" i="6"/>
  <c r="AH61" i="6"/>
  <c r="AI60" i="6"/>
  <c r="AH60" i="6"/>
  <c r="AI59" i="6"/>
  <c r="AH59" i="6"/>
  <c r="AI58" i="6"/>
  <c r="AH58" i="6"/>
  <c r="AI57" i="6"/>
  <c r="AH57" i="6"/>
  <c r="AI56" i="6"/>
  <c r="AH56" i="6"/>
  <c r="AI55" i="6"/>
  <c r="AH55" i="6"/>
  <c r="AI54" i="6"/>
  <c r="AH54" i="6"/>
  <c r="AI53" i="6"/>
  <c r="AH53" i="6"/>
  <c r="AG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AI51" i="6"/>
  <c r="AH51" i="6"/>
  <c r="AI50" i="6"/>
  <c r="AH50" i="6"/>
  <c r="AI49" i="6"/>
  <c r="AH49" i="6"/>
  <c r="AG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AI47" i="6"/>
  <c r="AH47" i="6"/>
  <c r="AI46" i="6"/>
  <c r="AH46" i="6"/>
  <c r="AI45" i="6"/>
  <c r="AH45" i="6"/>
  <c r="AI44" i="6"/>
  <c r="AH44" i="6"/>
  <c r="AI43" i="6"/>
  <c r="AH43" i="6"/>
  <c r="AI42" i="6"/>
  <c r="AH42" i="6"/>
  <c r="AI41" i="6"/>
  <c r="AH41" i="6"/>
  <c r="AI40" i="6"/>
  <c r="AH40" i="6"/>
  <c r="AI39" i="6"/>
  <c r="AH39" i="6"/>
  <c r="AI38" i="6"/>
  <c r="AH38" i="6"/>
  <c r="AI37" i="6"/>
  <c r="AH37" i="6"/>
  <c r="AI36" i="6"/>
  <c r="AH36" i="6"/>
  <c r="AI35" i="6"/>
  <c r="AH35" i="6"/>
  <c r="AI34" i="6"/>
  <c r="AH34" i="6"/>
  <c r="AI33" i="6"/>
  <c r="AH33" i="6"/>
  <c r="AI32" i="6"/>
  <c r="AH32" i="6"/>
  <c r="AI31" i="6"/>
  <c r="AH31" i="6"/>
  <c r="AI30" i="6"/>
  <c r="AH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AI23" i="6"/>
  <c r="AH23" i="6"/>
  <c r="AI22" i="6"/>
  <c r="AH22" i="6"/>
  <c r="AI21" i="6"/>
  <c r="AH21" i="6"/>
  <c r="AI20" i="6"/>
  <c r="AH20" i="6"/>
  <c r="AI19" i="6"/>
  <c r="AH19" i="6"/>
  <c r="AI18" i="6"/>
  <c r="AH18" i="6"/>
  <c r="AI17" i="6"/>
  <c r="AH17" i="6"/>
  <c r="AI16" i="6"/>
  <c r="AH16" i="6"/>
  <c r="AI15" i="6"/>
  <c r="AH15" i="6"/>
  <c r="AI14" i="6"/>
  <c r="AH14" i="6"/>
  <c r="AI13" i="6"/>
  <c r="AH13" i="6"/>
  <c r="AI12" i="6"/>
  <c r="AH12" i="6"/>
  <c r="AI11" i="6"/>
  <c r="AH11" i="6"/>
  <c r="AF5" i="6"/>
  <c r="K4" i="6"/>
  <c r="E4" i="6"/>
  <c r="H4" i="6" s="1"/>
  <c r="B4" i="6"/>
  <c r="S243" i="6" s="1"/>
  <c r="AG2" i="6"/>
  <c r="AE108" i="4"/>
  <c r="AF108" i="4"/>
  <c r="AG87" i="6" l="1"/>
  <c r="AN81" i="6"/>
  <c r="AG89" i="6"/>
  <c r="B232" i="6"/>
  <c r="D232" i="6"/>
  <c r="AG6" i="6"/>
  <c r="AF87" i="6"/>
  <c r="AF89" i="6" s="1"/>
  <c r="AF90" i="6" s="1"/>
  <c r="AE5" i="6"/>
  <c r="AD5" i="6"/>
  <c r="AE87" i="6"/>
  <c r="AE89" i="6" s="1"/>
  <c r="AD87" i="6"/>
  <c r="AD89" i="6" s="1"/>
  <c r="AD7" i="6" s="1"/>
  <c r="AB5" i="6"/>
  <c r="AC87" i="6"/>
  <c r="AC89" i="6" s="1"/>
  <c r="AC7" i="6" s="1"/>
  <c r="AB87" i="6"/>
  <c r="AB89" i="6" s="1"/>
  <c r="AB7" i="6" s="1"/>
  <c r="AA98" i="6"/>
  <c r="AA87" i="6"/>
  <c r="AA89" i="6" s="1"/>
  <c r="AS246" i="6" s="1"/>
  <c r="Z87" i="6"/>
  <c r="Z89" i="6" s="1"/>
  <c r="Y5" i="6"/>
  <c r="X5" i="6"/>
  <c r="Y87" i="6"/>
  <c r="Y89" i="6" s="1"/>
  <c r="W5" i="6"/>
  <c r="X87" i="6"/>
  <c r="X89" i="6" s="1"/>
  <c r="AP246" i="6" s="1"/>
  <c r="V5" i="6"/>
  <c r="W87" i="6"/>
  <c r="W89" i="6" s="1"/>
  <c r="W7" i="6" s="1"/>
  <c r="V87" i="6"/>
  <c r="V89" i="6" s="1"/>
  <c r="T5" i="6"/>
  <c r="U87" i="6"/>
  <c r="U89" i="6" s="1"/>
  <c r="U90" i="6" s="1"/>
  <c r="T87" i="6"/>
  <c r="T89" i="6" s="1"/>
  <c r="R5" i="6"/>
  <c r="S87" i="6"/>
  <c r="S89" i="6" s="1"/>
  <c r="S7" i="6" s="1"/>
  <c r="Q5" i="6"/>
  <c r="R87" i="6"/>
  <c r="R89" i="6" s="1"/>
  <c r="AJ246" i="6" s="1"/>
  <c r="P5" i="6"/>
  <c r="Q87" i="6"/>
  <c r="Q89" i="6" s="1"/>
  <c r="AI246" i="6" s="1"/>
  <c r="O5" i="6"/>
  <c r="N5" i="6"/>
  <c r="O87" i="6"/>
  <c r="O89" i="6" s="1"/>
  <c r="O90" i="6" s="1"/>
  <c r="P87" i="6"/>
  <c r="P89" i="6" s="1"/>
  <c r="AH246" i="6" s="1"/>
  <c r="N87" i="6"/>
  <c r="N89" i="6" s="1"/>
  <c r="N90" i="6" s="1"/>
  <c r="AI70" i="6"/>
  <c r="L5" i="6"/>
  <c r="AH70" i="6"/>
  <c r="M87" i="6"/>
  <c r="M89" i="6" s="1"/>
  <c r="AE246" i="6" s="1"/>
  <c r="L87" i="6"/>
  <c r="L89" i="6" s="1"/>
  <c r="L7" i="6" s="1"/>
  <c r="J5" i="6"/>
  <c r="K87" i="6"/>
  <c r="K89" i="6" s="1"/>
  <c r="K90" i="6" s="1"/>
  <c r="I5" i="6"/>
  <c r="H5" i="6"/>
  <c r="J87" i="6"/>
  <c r="J89" i="6" s="1"/>
  <c r="J90" i="6" s="1"/>
  <c r="I87" i="6"/>
  <c r="I89" i="6" s="1"/>
  <c r="I90" i="6" s="1"/>
  <c r="G5" i="6"/>
  <c r="H87" i="6"/>
  <c r="H89" i="6" s="1"/>
  <c r="H90" i="6" s="1"/>
  <c r="F5" i="6"/>
  <c r="G87" i="6"/>
  <c r="G89" i="6" s="1"/>
  <c r="AI66" i="6"/>
  <c r="F87" i="6"/>
  <c r="F89" i="6" s="1"/>
  <c r="F90" i="6" s="1"/>
  <c r="AI52" i="6"/>
  <c r="E87" i="6"/>
  <c r="E89" i="6" s="1"/>
  <c r="E90" i="6" s="1"/>
  <c r="D5" i="6"/>
  <c r="B5" i="6"/>
  <c r="D87" i="6"/>
  <c r="D89" i="6" s="1"/>
  <c r="V246" i="6" s="1"/>
  <c r="AH52" i="6"/>
  <c r="AH48" i="6"/>
  <c r="AI48" i="6"/>
  <c r="AN246" i="6"/>
  <c r="V90" i="6"/>
  <c r="V7" i="6"/>
  <c r="AV246" i="6"/>
  <c r="AD90" i="6"/>
  <c r="F226" i="6"/>
  <c r="L90" i="6"/>
  <c r="Z90" i="6"/>
  <c r="Z7" i="6"/>
  <c r="AR246" i="6"/>
  <c r="AE7" i="6"/>
  <c r="AE90" i="6"/>
  <c r="AW246" i="6"/>
  <c r="U7" i="6"/>
  <c r="AM246" i="6"/>
  <c r="AF246" i="6"/>
  <c r="J229" i="6"/>
  <c r="K229" i="6" s="1"/>
  <c r="L229" i="6" s="1"/>
  <c r="M229" i="6" s="1"/>
  <c r="N229" i="6" s="1"/>
  <c r="O229" i="6" s="1"/>
  <c r="P229" i="6" s="1"/>
  <c r="T7" i="6"/>
  <c r="AL246" i="6"/>
  <c r="T90" i="6"/>
  <c r="R7" i="6"/>
  <c r="Q90" i="6"/>
  <c r="Q7" i="6"/>
  <c r="Y90" i="6"/>
  <c r="Y7" i="6"/>
  <c r="AQ246" i="6"/>
  <c r="X90" i="6"/>
  <c r="X7" i="6"/>
  <c r="AF7" i="6"/>
  <c r="C87" i="6"/>
  <c r="C89" i="6" s="1"/>
  <c r="F98" i="6"/>
  <c r="N98" i="6"/>
  <c r="V98" i="6"/>
  <c r="AD98" i="6"/>
  <c r="D243" i="6"/>
  <c r="AH66" i="6"/>
  <c r="E231" i="6"/>
  <c r="C5" i="6"/>
  <c r="K5" i="6"/>
  <c r="S5" i="6"/>
  <c r="AA5" i="6"/>
  <c r="AH82" i="6"/>
  <c r="AI82" i="6"/>
  <c r="R90" i="6" l="1"/>
  <c r="AA90" i="6"/>
  <c r="AX246" i="6"/>
  <c r="S90" i="6"/>
  <c r="X246" i="6"/>
  <c r="AA7" i="6"/>
  <c r="AC246" i="6"/>
  <c r="N7" i="6"/>
  <c r="W90" i="6"/>
  <c r="K7" i="6"/>
  <c r="AC90" i="6"/>
  <c r="AU246" i="6"/>
  <c r="AT246" i="6"/>
  <c r="AB90" i="6"/>
  <c r="AO246" i="6"/>
  <c r="AK246" i="6"/>
  <c r="P7" i="6"/>
  <c r="P90" i="6"/>
  <c r="O7" i="6"/>
  <c r="AG246" i="6"/>
  <c r="AD246" i="6"/>
  <c r="D90" i="6"/>
  <c r="D7" i="6"/>
  <c r="M7" i="6"/>
  <c r="AI98" i="6"/>
  <c r="M90" i="6"/>
  <c r="I7" i="6"/>
  <c r="AA246" i="6"/>
  <c r="B241" i="6"/>
  <c r="AB246" i="6"/>
  <c r="J7" i="6"/>
  <c r="Z246" i="6"/>
  <c r="H7" i="6"/>
  <c r="Y246" i="6"/>
  <c r="W246" i="6"/>
  <c r="E7" i="6"/>
  <c r="G7" i="6"/>
  <c r="G90" i="6"/>
  <c r="C241" i="6"/>
  <c r="K6" i="6" s="1"/>
  <c r="F7" i="6"/>
  <c r="AH98" i="6"/>
  <c r="T246" i="6"/>
  <c r="B7" i="6"/>
  <c r="D267" i="6"/>
  <c r="F231" i="6"/>
  <c r="F232" i="6" s="1"/>
  <c r="C90" i="6"/>
  <c r="C7" i="6"/>
  <c r="U246" i="6"/>
  <c r="AH87" i="6"/>
  <c r="E232" i="6"/>
  <c r="AH89" i="6"/>
  <c r="E108" i="6"/>
  <c r="AI89" i="6"/>
  <c r="AI87" i="6"/>
  <c r="G226" i="6"/>
  <c r="F108" i="6"/>
  <c r="AH90" i="6" l="1"/>
  <c r="A7" i="6"/>
  <c r="AI90" i="6"/>
  <c r="E267" i="6"/>
  <c r="G231" i="6"/>
  <c r="H226" i="6"/>
  <c r="G108" i="6"/>
  <c r="G232" i="6"/>
  <c r="I226" i="6" l="1"/>
  <c r="F267" i="6"/>
  <c r="H231" i="6"/>
  <c r="G267" i="6" l="1"/>
  <c r="I231" i="6"/>
  <c r="I108" i="6"/>
  <c r="J226" i="6"/>
  <c r="H232" i="6"/>
  <c r="H108" i="6"/>
  <c r="K226" i="6" l="1"/>
  <c r="J231" i="6"/>
  <c r="H267" i="6"/>
  <c r="K231" i="6" l="1"/>
  <c r="I267" i="6"/>
  <c r="J108" i="6"/>
  <c r="L226" i="6"/>
  <c r="K108" i="6"/>
  <c r="M226" i="6" l="1"/>
  <c r="L108" i="6"/>
  <c r="J267" i="6"/>
  <c r="L231" i="6"/>
  <c r="K267" i="6" l="1"/>
  <c r="M231" i="6"/>
  <c r="N226" i="6"/>
  <c r="M108" i="6"/>
  <c r="O226" i="6" l="1"/>
  <c r="L267" i="6"/>
  <c r="N231" i="6"/>
  <c r="M267" i="6" l="1"/>
  <c r="O231" i="6"/>
  <c r="N108" i="6"/>
  <c r="P226" i="6"/>
  <c r="O108" i="6"/>
  <c r="AI108" i="6" l="1"/>
  <c r="AH108" i="6"/>
  <c r="N267" i="6"/>
  <c r="P231" i="6"/>
  <c r="O267" i="6" s="1"/>
  <c r="Z108" i="4" l="1"/>
  <c r="Z98" i="4"/>
  <c r="Z89" i="4"/>
  <c r="Z87" i="4"/>
  <c r="Z82" i="4"/>
  <c r="Z70" i="4"/>
  <c r="Z66" i="4"/>
  <c r="Z52" i="4"/>
  <c r="Z48" i="4"/>
  <c r="W48" i="4" l="1"/>
  <c r="W52" i="4"/>
  <c r="W66" i="4"/>
  <c r="AF271" i="5" l="1"/>
  <c r="AE271" i="5"/>
  <c r="AD271" i="5"/>
  <c r="AC271" i="5"/>
  <c r="AB271" i="5"/>
  <c r="AA271" i="5"/>
  <c r="Z271" i="5"/>
  <c r="Y271" i="5"/>
  <c r="X271" i="5"/>
  <c r="W271" i="5"/>
  <c r="V271" i="5"/>
  <c r="U271" i="5"/>
  <c r="T271" i="5"/>
  <c r="S271" i="5"/>
  <c r="R271" i="5"/>
  <c r="Q271" i="5"/>
  <c r="P271" i="5"/>
  <c r="O271" i="5"/>
  <c r="N271" i="5"/>
  <c r="M271" i="5"/>
  <c r="L271" i="5"/>
  <c r="K271" i="5"/>
  <c r="J271" i="5"/>
  <c r="I271" i="5"/>
  <c r="H271" i="5"/>
  <c r="G271" i="5"/>
  <c r="F271" i="5"/>
  <c r="E271" i="5"/>
  <c r="D271" i="5"/>
  <c r="C271" i="5"/>
  <c r="B271" i="5"/>
  <c r="A271" i="5"/>
  <c r="AF270" i="5"/>
  <c r="AE270" i="5"/>
  <c r="AD270" i="5"/>
  <c r="AC270" i="5"/>
  <c r="AB270" i="5"/>
  <c r="AA270" i="5"/>
  <c r="Z270" i="5"/>
  <c r="Y270" i="5"/>
  <c r="X270" i="5"/>
  <c r="W270" i="5"/>
  <c r="V270" i="5"/>
  <c r="U270" i="5"/>
  <c r="T270" i="5"/>
  <c r="S270" i="5"/>
  <c r="R270" i="5"/>
  <c r="Q270" i="5"/>
  <c r="P270" i="5"/>
  <c r="O270" i="5"/>
  <c r="N270" i="5"/>
  <c r="M270" i="5"/>
  <c r="L270" i="5"/>
  <c r="K270" i="5"/>
  <c r="J270" i="5"/>
  <c r="I270" i="5"/>
  <c r="H270" i="5"/>
  <c r="G270" i="5"/>
  <c r="F270" i="5"/>
  <c r="E270" i="5"/>
  <c r="D270" i="5"/>
  <c r="C270" i="5"/>
  <c r="B270" i="5"/>
  <c r="A270" i="5"/>
  <c r="AF269" i="5"/>
  <c r="AE269" i="5"/>
  <c r="AD269" i="5"/>
  <c r="AC269" i="5"/>
  <c r="AB269" i="5"/>
  <c r="AA269" i="5"/>
  <c r="Z269" i="5"/>
  <c r="Y269" i="5"/>
  <c r="X269" i="5"/>
  <c r="W269" i="5"/>
  <c r="V269" i="5"/>
  <c r="U269" i="5"/>
  <c r="T269" i="5"/>
  <c r="S269" i="5"/>
  <c r="R269" i="5"/>
  <c r="Q269" i="5"/>
  <c r="P269" i="5"/>
  <c r="O269" i="5"/>
  <c r="N269" i="5"/>
  <c r="M269" i="5"/>
  <c r="L269" i="5"/>
  <c r="K269" i="5"/>
  <c r="J269" i="5"/>
  <c r="I269" i="5"/>
  <c r="H269" i="5"/>
  <c r="G269" i="5"/>
  <c r="F269" i="5"/>
  <c r="E269" i="5"/>
  <c r="D269" i="5"/>
  <c r="C269" i="5"/>
  <c r="B269" i="5"/>
  <c r="A269" i="5"/>
  <c r="AF268" i="5"/>
  <c r="AE268" i="5"/>
  <c r="AD268" i="5"/>
  <c r="AC268" i="5"/>
  <c r="AB268" i="5"/>
  <c r="AA268" i="5"/>
  <c r="Z268" i="5"/>
  <c r="Y268" i="5"/>
  <c r="X268" i="5"/>
  <c r="W268" i="5"/>
  <c r="V268" i="5"/>
  <c r="U268" i="5"/>
  <c r="T268" i="5"/>
  <c r="S268" i="5"/>
  <c r="R268" i="5"/>
  <c r="Q268" i="5"/>
  <c r="P268" i="5"/>
  <c r="O268" i="5"/>
  <c r="N268" i="5"/>
  <c r="M268" i="5"/>
  <c r="L268" i="5"/>
  <c r="K268" i="5"/>
  <c r="J268" i="5"/>
  <c r="I268" i="5"/>
  <c r="H268" i="5"/>
  <c r="G268" i="5"/>
  <c r="F268" i="5"/>
  <c r="E268" i="5"/>
  <c r="D268" i="5"/>
  <c r="C268" i="5"/>
  <c r="B268" i="5"/>
  <c r="A268" i="5"/>
  <c r="AE267" i="5"/>
  <c r="AD267" i="5"/>
  <c r="AC267" i="5"/>
  <c r="AB267" i="5"/>
  <c r="AA267" i="5"/>
  <c r="Z267" i="5"/>
  <c r="Y267" i="5"/>
  <c r="X267" i="5"/>
  <c r="W267" i="5"/>
  <c r="V267" i="5"/>
  <c r="U267" i="5"/>
  <c r="T267" i="5"/>
  <c r="S267" i="5"/>
  <c r="R267" i="5"/>
  <c r="Q267" i="5"/>
  <c r="P267" i="5"/>
  <c r="B267" i="5"/>
  <c r="S242" i="5"/>
  <c r="AG232" i="5"/>
  <c r="AF232" i="5"/>
  <c r="AE232" i="5"/>
  <c r="AD232" i="5"/>
  <c r="AC232" i="5"/>
  <c r="AB232" i="5"/>
  <c r="AA232" i="5"/>
  <c r="Z232" i="5"/>
  <c r="Y232" i="5"/>
  <c r="X232" i="5"/>
  <c r="W232" i="5"/>
  <c r="V232" i="5"/>
  <c r="U232" i="5"/>
  <c r="T232" i="5"/>
  <c r="S232" i="5"/>
  <c r="R232" i="5"/>
  <c r="Q232" i="5"/>
  <c r="C232" i="5"/>
  <c r="D231" i="5"/>
  <c r="C267" i="5" s="1"/>
  <c r="B231" i="5"/>
  <c r="AF267" i="5" s="1"/>
  <c r="D230" i="5"/>
  <c r="E230" i="5" s="1"/>
  <c r="F230" i="5" s="1"/>
  <c r="G230" i="5" s="1"/>
  <c r="H230" i="5" s="1"/>
  <c r="I230" i="5" s="1"/>
  <c r="J230" i="5" s="1"/>
  <c r="K230" i="5" s="1"/>
  <c r="L230" i="5" s="1"/>
  <c r="M230" i="5" s="1"/>
  <c r="N230" i="5" s="1"/>
  <c r="O230" i="5" s="1"/>
  <c r="P230" i="5" s="1"/>
  <c r="B230" i="5"/>
  <c r="E229" i="5"/>
  <c r="F229" i="5" s="1"/>
  <c r="G229" i="5" s="1"/>
  <c r="H229" i="5" s="1"/>
  <c r="I229" i="5" s="1"/>
  <c r="D229" i="5"/>
  <c r="B229" i="5"/>
  <c r="F228" i="5"/>
  <c r="G228" i="5" s="1"/>
  <c r="H228" i="5" s="1"/>
  <c r="E228" i="5"/>
  <c r="D228" i="5"/>
  <c r="B228" i="5"/>
  <c r="D227" i="5"/>
  <c r="D232" i="5" s="1"/>
  <c r="B227" i="5"/>
  <c r="E226" i="5"/>
  <c r="F226" i="5" s="1"/>
  <c r="D226" i="5"/>
  <c r="B226" i="5"/>
  <c r="B232" i="5" s="1"/>
  <c r="AG224" i="5"/>
  <c r="AF224" i="5"/>
  <c r="AE224" i="5"/>
  <c r="AD224" i="5"/>
  <c r="AC224" i="5"/>
  <c r="AB224" i="5"/>
  <c r="AA224" i="5"/>
  <c r="Z224" i="5"/>
  <c r="Y224" i="5"/>
  <c r="X224" i="5"/>
  <c r="W224" i="5"/>
  <c r="V224" i="5"/>
  <c r="U224" i="5"/>
  <c r="T224" i="5"/>
  <c r="S224" i="5"/>
  <c r="R224" i="5"/>
  <c r="Q224" i="5"/>
  <c r="P224" i="5"/>
  <c r="O224" i="5"/>
  <c r="N224" i="5"/>
  <c r="M224" i="5"/>
  <c r="L224" i="5"/>
  <c r="K224" i="5"/>
  <c r="J224" i="5"/>
  <c r="I224" i="5"/>
  <c r="H224" i="5"/>
  <c r="G224" i="5"/>
  <c r="F224" i="5"/>
  <c r="E224" i="5"/>
  <c r="D224" i="5"/>
  <c r="C224" i="5"/>
  <c r="B224" i="5"/>
  <c r="AI117" i="5"/>
  <c r="AH117" i="5"/>
  <c r="AI116" i="5"/>
  <c r="AH116" i="5"/>
  <c r="AI115" i="5"/>
  <c r="AH115" i="5"/>
  <c r="AI114" i="5"/>
  <c r="AH114" i="5"/>
  <c r="AI113" i="5"/>
  <c r="AH113" i="5"/>
  <c r="AI112" i="5"/>
  <c r="AH112" i="5"/>
  <c r="AI111" i="5"/>
  <c r="AH111" i="5"/>
  <c r="AI110" i="5"/>
  <c r="AH110" i="5"/>
  <c r="AI109" i="5"/>
  <c r="AH109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C108" i="5"/>
  <c r="B108" i="5"/>
  <c r="AI107" i="5"/>
  <c r="AH107" i="5"/>
  <c r="AI106" i="5"/>
  <c r="AH106" i="5"/>
  <c r="AI105" i="5"/>
  <c r="AH105" i="5"/>
  <c r="AI104" i="5"/>
  <c r="AH104" i="5"/>
  <c r="AI103" i="5"/>
  <c r="AH103" i="5"/>
  <c r="AI102" i="5"/>
  <c r="AH102" i="5"/>
  <c r="AI101" i="5"/>
  <c r="AH101" i="5"/>
  <c r="AI100" i="5"/>
  <c r="AH100" i="5"/>
  <c r="AI99" i="5"/>
  <c r="AH99" i="5"/>
  <c r="AD98" i="5"/>
  <c r="V98" i="5"/>
  <c r="N98" i="5"/>
  <c r="F98" i="5"/>
  <c r="AI97" i="5"/>
  <c r="AH97" i="5"/>
  <c r="AI96" i="5"/>
  <c r="AH96" i="5"/>
  <c r="AI95" i="5"/>
  <c r="AH95" i="5"/>
  <c r="AI94" i="5"/>
  <c r="AH94" i="5"/>
  <c r="AI93" i="5"/>
  <c r="AH93" i="5"/>
  <c r="AI92" i="5"/>
  <c r="AH92" i="5"/>
  <c r="AI91" i="5"/>
  <c r="AH91" i="5"/>
  <c r="AI88" i="5"/>
  <c r="AH88" i="5"/>
  <c r="AA87" i="5"/>
  <c r="AA89" i="5" s="1"/>
  <c r="S87" i="5"/>
  <c r="S89" i="5" s="1"/>
  <c r="K87" i="5"/>
  <c r="K89" i="5" s="1"/>
  <c r="C87" i="5"/>
  <c r="C89" i="5" s="1"/>
  <c r="AI86" i="5"/>
  <c r="AH86" i="5"/>
  <c r="AG86" i="5"/>
  <c r="AG89" i="5" s="1"/>
  <c r="AI85" i="5"/>
  <c r="AH85" i="5"/>
  <c r="AI84" i="5"/>
  <c r="AH84" i="5"/>
  <c r="AI83" i="5"/>
  <c r="AH83" i="5"/>
  <c r="AN82" i="5"/>
  <c r="AG82" i="5"/>
  <c r="AF82" i="5"/>
  <c r="AF98" i="5" s="1"/>
  <c r="AE82" i="5"/>
  <c r="AD5" i="5" s="1"/>
  <c r="AD82" i="5"/>
  <c r="AC82" i="5"/>
  <c r="AC98" i="5" s="1"/>
  <c r="AB82" i="5"/>
  <c r="AB98" i="5" s="1"/>
  <c r="AA82" i="5"/>
  <c r="AA98" i="5" s="1"/>
  <c r="Z82" i="5"/>
  <c r="Z98" i="5" s="1"/>
  <c r="Y82" i="5"/>
  <c r="Y98" i="5" s="1"/>
  <c r="X82" i="5"/>
  <c r="X98" i="5" s="1"/>
  <c r="W82" i="5"/>
  <c r="V5" i="5" s="1"/>
  <c r="V82" i="5"/>
  <c r="U82" i="5"/>
  <c r="U98" i="5" s="1"/>
  <c r="T82" i="5"/>
  <c r="T98" i="5" s="1"/>
  <c r="S82" i="5"/>
  <c r="S98" i="5" s="1"/>
  <c r="R82" i="5"/>
  <c r="R98" i="5" s="1"/>
  <c r="Q82" i="5"/>
  <c r="Q98" i="5" s="1"/>
  <c r="P82" i="5"/>
  <c r="P98" i="5" s="1"/>
  <c r="O82" i="5"/>
  <c r="N5" i="5" s="1"/>
  <c r="N82" i="5"/>
  <c r="M82" i="5"/>
  <c r="M98" i="5" s="1"/>
  <c r="L82" i="5"/>
  <c r="L98" i="5" s="1"/>
  <c r="K82" i="5"/>
  <c r="K98" i="5" s="1"/>
  <c r="J82" i="5"/>
  <c r="J98" i="5" s="1"/>
  <c r="I82" i="5"/>
  <c r="I98" i="5" s="1"/>
  <c r="H82" i="5"/>
  <c r="H98" i="5" s="1"/>
  <c r="G82" i="5"/>
  <c r="F5" i="5" s="1"/>
  <c r="F82" i="5"/>
  <c r="E82" i="5"/>
  <c r="E98" i="5" s="1"/>
  <c r="D82" i="5"/>
  <c r="D98" i="5" s="1"/>
  <c r="C82" i="5"/>
  <c r="C98" i="5" s="1"/>
  <c r="B82" i="5"/>
  <c r="B98" i="5" s="1"/>
  <c r="AI81" i="5"/>
  <c r="AH81" i="5"/>
  <c r="AN80" i="5"/>
  <c r="AI80" i="5"/>
  <c r="AH80" i="5"/>
  <c r="AN79" i="5"/>
  <c r="AN81" i="5" s="1"/>
  <c r="AI79" i="5"/>
  <c r="AH79" i="5"/>
  <c r="AI78" i="5"/>
  <c r="AH78" i="5"/>
  <c r="AI77" i="5"/>
  <c r="AH77" i="5"/>
  <c r="AI76" i="5"/>
  <c r="AH76" i="5"/>
  <c r="AI75" i="5"/>
  <c r="AH75" i="5"/>
  <c r="AI74" i="5"/>
  <c r="AH74" i="5"/>
  <c r="AI73" i="5"/>
  <c r="AH73" i="5"/>
  <c r="AI72" i="5"/>
  <c r="AH72" i="5"/>
  <c r="AI71" i="5"/>
  <c r="AH71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AH70" i="5" s="1"/>
  <c r="Q70" i="5"/>
  <c r="P70" i="5"/>
  <c r="O70" i="5"/>
  <c r="N70" i="5"/>
  <c r="M70" i="5"/>
  <c r="L70" i="5"/>
  <c r="B70" i="5"/>
  <c r="AI70" i="5" s="1"/>
  <c r="AI69" i="5"/>
  <c r="AH69" i="5"/>
  <c r="AI68" i="5"/>
  <c r="AH68" i="5"/>
  <c r="AI67" i="5"/>
  <c r="AH67" i="5"/>
  <c r="AG66" i="5"/>
  <c r="AG3" i="5" s="1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AI66" i="5" s="1"/>
  <c r="AI65" i="5"/>
  <c r="AH65" i="5"/>
  <c r="AG65" i="5"/>
  <c r="AI64" i="5"/>
  <c r="AH64" i="5"/>
  <c r="AI63" i="5"/>
  <c r="AH63" i="5"/>
  <c r="AI62" i="5"/>
  <c r="AH62" i="5"/>
  <c r="AI61" i="5"/>
  <c r="AH61" i="5"/>
  <c r="AI60" i="5"/>
  <c r="AH60" i="5"/>
  <c r="AI59" i="5"/>
  <c r="AH59" i="5"/>
  <c r="AI58" i="5"/>
  <c r="AH58" i="5"/>
  <c r="AI57" i="5"/>
  <c r="AH57" i="5"/>
  <c r="AI56" i="5"/>
  <c r="AH56" i="5"/>
  <c r="AI55" i="5"/>
  <c r="AH55" i="5"/>
  <c r="AI54" i="5"/>
  <c r="AH54" i="5"/>
  <c r="AI53" i="5"/>
  <c r="AH53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I52" i="5" s="1"/>
  <c r="AI51" i="5"/>
  <c r="AH51" i="5"/>
  <c r="AI50" i="5"/>
  <c r="AH50" i="5"/>
  <c r="AI49" i="5"/>
  <c r="AH49" i="5"/>
  <c r="AG48" i="5"/>
  <c r="AG87" i="5" s="1"/>
  <c r="AF87" i="5"/>
  <c r="AF89" i="5" s="1"/>
  <c r="AE87" i="5"/>
  <c r="AE89" i="5" s="1"/>
  <c r="AD87" i="5"/>
  <c r="AD89" i="5" s="1"/>
  <c r="AC87" i="5"/>
  <c r="AC89" i="5" s="1"/>
  <c r="AB87" i="5"/>
  <c r="AB89" i="5" s="1"/>
  <c r="Z87" i="5"/>
  <c r="Z89" i="5" s="1"/>
  <c r="Y87" i="5"/>
  <c r="Y89" i="5" s="1"/>
  <c r="X87" i="5"/>
  <c r="X89" i="5" s="1"/>
  <c r="W87" i="5"/>
  <c r="W89" i="5" s="1"/>
  <c r="V87" i="5"/>
  <c r="V89" i="5" s="1"/>
  <c r="U87" i="5"/>
  <c r="U89" i="5" s="1"/>
  <c r="T87" i="5"/>
  <c r="T89" i="5" s="1"/>
  <c r="R87" i="5"/>
  <c r="R89" i="5" s="1"/>
  <c r="Q87" i="5"/>
  <c r="Q89" i="5" s="1"/>
  <c r="P87" i="5"/>
  <c r="P89" i="5" s="1"/>
  <c r="O87" i="5"/>
  <c r="O89" i="5" s="1"/>
  <c r="N87" i="5"/>
  <c r="N89" i="5" s="1"/>
  <c r="M87" i="5"/>
  <c r="M89" i="5" s="1"/>
  <c r="L87" i="5"/>
  <c r="L89" i="5" s="1"/>
  <c r="J87" i="5"/>
  <c r="J89" i="5" s="1"/>
  <c r="I87" i="5"/>
  <c r="I89" i="5" s="1"/>
  <c r="H87" i="5"/>
  <c r="H89" i="5" s="1"/>
  <c r="G87" i="5"/>
  <c r="G89" i="5" s="1"/>
  <c r="F87" i="5"/>
  <c r="F89" i="5" s="1"/>
  <c r="E87" i="5"/>
  <c r="E89" i="5" s="1"/>
  <c r="D87" i="5"/>
  <c r="D89" i="5" s="1"/>
  <c r="B87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I38" i="5"/>
  <c r="AH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AF5" i="5"/>
  <c r="AE5" i="5"/>
  <c r="AC5" i="5"/>
  <c r="AB5" i="5"/>
  <c r="AA5" i="5"/>
  <c r="Z5" i="5"/>
  <c r="Y5" i="5"/>
  <c r="X5" i="5"/>
  <c r="W5" i="5"/>
  <c r="U5" i="5"/>
  <c r="T5" i="5"/>
  <c r="S5" i="5"/>
  <c r="R5" i="5"/>
  <c r="Q5" i="5"/>
  <c r="P5" i="5"/>
  <c r="O5" i="5"/>
  <c r="M5" i="5"/>
  <c r="L5" i="5"/>
  <c r="K5" i="5"/>
  <c r="J5" i="5"/>
  <c r="I5" i="5"/>
  <c r="H5" i="5"/>
  <c r="G5" i="5"/>
  <c r="E5" i="5"/>
  <c r="D5" i="5"/>
  <c r="C5" i="5"/>
  <c r="B5" i="5"/>
  <c r="AG4" i="5"/>
  <c r="K4" i="5"/>
  <c r="E4" i="5"/>
  <c r="H4" i="5" s="1"/>
  <c r="B4" i="5"/>
  <c r="S243" i="5" s="1"/>
  <c r="AG2" i="5"/>
  <c r="AG6" i="5" s="1"/>
  <c r="AF271" i="4"/>
  <c r="AE271" i="4"/>
  <c r="AD271" i="4"/>
  <c r="AC271" i="4"/>
  <c r="AB271" i="4"/>
  <c r="AA271" i="4"/>
  <c r="Z271" i="4"/>
  <c r="Y271" i="4"/>
  <c r="X271" i="4"/>
  <c r="W271" i="4"/>
  <c r="V271" i="4"/>
  <c r="U271" i="4"/>
  <c r="T271" i="4"/>
  <c r="S271" i="4"/>
  <c r="R271" i="4"/>
  <c r="Q271" i="4"/>
  <c r="P271" i="4"/>
  <c r="O271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B271" i="4"/>
  <c r="A271" i="4"/>
  <c r="AF270" i="4"/>
  <c r="AE270" i="4"/>
  <c r="AD270" i="4"/>
  <c r="AC270" i="4"/>
  <c r="AB270" i="4"/>
  <c r="AA270" i="4"/>
  <c r="Z270" i="4"/>
  <c r="Y270" i="4"/>
  <c r="X270" i="4"/>
  <c r="W270" i="4"/>
  <c r="V270" i="4"/>
  <c r="U270" i="4"/>
  <c r="T270" i="4"/>
  <c r="S270" i="4"/>
  <c r="R270" i="4"/>
  <c r="Q270" i="4"/>
  <c r="P270" i="4"/>
  <c r="O270" i="4"/>
  <c r="N270" i="4"/>
  <c r="M270" i="4"/>
  <c r="L270" i="4"/>
  <c r="K270" i="4"/>
  <c r="J270" i="4"/>
  <c r="I270" i="4"/>
  <c r="H270" i="4"/>
  <c r="G270" i="4"/>
  <c r="F270" i="4"/>
  <c r="E270" i="4"/>
  <c r="D270" i="4"/>
  <c r="C270" i="4"/>
  <c r="B270" i="4"/>
  <c r="A270" i="4"/>
  <c r="AF269" i="4"/>
  <c r="AE269" i="4"/>
  <c r="AD269" i="4"/>
  <c r="AC269" i="4"/>
  <c r="AB269" i="4"/>
  <c r="AA269" i="4"/>
  <c r="Z269" i="4"/>
  <c r="Y269" i="4"/>
  <c r="X269" i="4"/>
  <c r="W269" i="4"/>
  <c r="V269" i="4"/>
  <c r="U269" i="4"/>
  <c r="T269" i="4"/>
  <c r="S269" i="4"/>
  <c r="R269" i="4"/>
  <c r="Q269" i="4"/>
  <c r="P269" i="4"/>
  <c r="O269" i="4"/>
  <c r="N269" i="4"/>
  <c r="M269" i="4"/>
  <c r="L269" i="4"/>
  <c r="K269" i="4"/>
  <c r="J269" i="4"/>
  <c r="I269" i="4"/>
  <c r="H269" i="4"/>
  <c r="G269" i="4"/>
  <c r="F269" i="4"/>
  <c r="E269" i="4"/>
  <c r="D269" i="4"/>
  <c r="C269" i="4"/>
  <c r="B269" i="4"/>
  <c r="A269" i="4"/>
  <c r="AF268" i="4"/>
  <c r="AE268" i="4"/>
  <c r="AD268" i="4"/>
  <c r="AC268" i="4"/>
  <c r="AB268" i="4"/>
  <c r="AA268" i="4"/>
  <c r="Z268" i="4"/>
  <c r="Y268" i="4"/>
  <c r="X268" i="4"/>
  <c r="W268" i="4"/>
  <c r="V268" i="4"/>
  <c r="U268" i="4"/>
  <c r="T268" i="4"/>
  <c r="S268" i="4"/>
  <c r="R268" i="4"/>
  <c r="Q268" i="4"/>
  <c r="P268" i="4"/>
  <c r="O268" i="4"/>
  <c r="N268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A268" i="4"/>
  <c r="AE267" i="4"/>
  <c r="AD267" i="4"/>
  <c r="AC267" i="4"/>
  <c r="AB267" i="4"/>
  <c r="AA267" i="4"/>
  <c r="Z267" i="4"/>
  <c r="Y267" i="4"/>
  <c r="X267" i="4"/>
  <c r="W267" i="4"/>
  <c r="V267" i="4"/>
  <c r="U267" i="4"/>
  <c r="T267" i="4"/>
  <c r="S267" i="4"/>
  <c r="R267" i="4"/>
  <c r="Q267" i="4"/>
  <c r="P267" i="4"/>
  <c r="B267" i="4"/>
  <c r="S242" i="4"/>
  <c r="AG232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T232" i="4"/>
  <c r="S232" i="4"/>
  <c r="R232" i="4"/>
  <c r="Q232" i="4"/>
  <c r="C232" i="4"/>
  <c r="F231" i="4"/>
  <c r="E267" i="4" s="1"/>
  <c r="E231" i="4"/>
  <c r="D267" i="4" s="1"/>
  <c r="D231" i="4"/>
  <c r="C267" i="4" s="1"/>
  <c r="B231" i="4"/>
  <c r="AF267" i="4" s="1"/>
  <c r="D230" i="4"/>
  <c r="E230" i="4" s="1"/>
  <c r="F230" i="4" s="1"/>
  <c r="G230" i="4" s="1"/>
  <c r="H230" i="4" s="1"/>
  <c r="I230" i="4" s="1"/>
  <c r="J230" i="4" s="1"/>
  <c r="K230" i="4" s="1"/>
  <c r="L230" i="4" s="1"/>
  <c r="M230" i="4" s="1"/>
  <c r="N230" i="4" s="1"/>
  <c r="O230" i="4" s="1"/>
  <c r="P230" i="4" s="1"/>
  <c r="B230" i="4"/>
  <c r="D229" i="4"/>
  <c r="E229" i="4" s="1"/>
  <c r="F229" i="4" s="1"/>
  <c r="G229" i="4" s="1"/>
  <c r="H229" i="4" s="1"/>
  <c r="I229" i="4" s="1"/>
  <c r="B229" i="4"/>
  <c r="D228" i="4"/>
  <c r="E228" i="4" s="1"/>
  <c r="F228" i="4" s="1"/>
  <c r="G228" i="4" s="1"/>
  <c r="H228" i="4" s="1"/>
  <c r="B228" i="4"/>
  <c r="G227" i="4"/>
  <c r="H227" i="4" s="1"/>
  <c r="I227" i="4" s="1"/>
  <c r="J227" i="4" s="1"/>
  <c r="K227" i="4" s="1"/>
  <c r="L227" i="4" s="1"/>
  <c r="M227" i="4" s="1"/>
  <c r="N227" i="4" s="1"/>
  <c r="O227" i="4" s="1"/>
  <c r="P227" i="4" s="1"/>
  <c r="F227" i="4"/>
  <c r="E227" i="4"/>
  <c r="D227" i="4"/>
  <c r="B227" i="4"/>
  <c r="E226" i="4"/>
  <c r="F226" i="4" s="1"/>
  <c r="D226" i="4"/>
  <c r="D232" i="4" s="1"/>
  <c r="B226" i="4"/>
  <c r="B232" i="4" s="1"/>
  <c r="AG224" i="4"/>
  <c r="AF224" i="4"/>
  <c r="AE224" i="4"/>
  <c r="AD224" i="4"/>
  <c r="AC224" i="4"/>
  <c r="AB224" i="4"/>
  <c r="AA224" i="4"/>
  <c r="Z224" i="4"/>
  <c r="Y224" i="4"/>
  <c r="X224" i="4"/>
  <c r="W224" i="4"/>
  <c r="V224" i="4"/>
  <c r="U224" i="4"/>
  <c r="T224" i="4"/>
  <c r="S224" i="4"/>
  <c r="R224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B224" i="4"/>
  <c r="AI117" i="4"/>
  <c r="AH117" i="4"/>
  <c r="AI116" i="4"/>
  <c r="AH116" i="4"/>
  <c r="AI115" i="4"/>
  <c r="AH115" i="4"/>
  <c r="AI114" i="4"/>
  <c r="AH114" i="4"/>
  <c r="AI113" i="4"/>
  <c r="AH113" i="4"/>
  <c r="AI112" i="4"/>
  <c r="AH112" i="4"/>
  <c r="AH111" i="4"/>
  <c r="R111" i="4"/>
  <c r="Q111" i="4"/>
  <c r="P111" i="4"/>
  <c r="AI111" i="4" s="1"/>
  <c r="N111" i="4"/>
  <c r="AI110" i="4"/>
  <c r="AH110" i="4"/>
  <c r="AI109" i="4"/>
  <c r="AH109" i="4"/>
  <c r="AD108" i="4"/>
  <c r="AC108" i="4"/>
  <c r="AB108" i="4"/>
  <c r="AA108" i="4"/>
  <c r="Y108" i="4"/>
  <c r="X108" i="4"/>
  <c r="W108" i="4"/>
  <c r="V108" i="4"/>
  <c r="U108" i="4"/>
  <c r="T108" i="4"/>
  <c r="S108" i="4"/>
  <c r="R108" i="4"/>
  <c r="Q108" i="4"/>
  <c r="E108" i="4"/>
  <c r="D108" i="4"/>
  <c r="C108" i="4"/>
  <c r="B108" i="4"/>
  <c r="AI107" i="4"/>
  <c r="AH107" i="4"/>
  <c r="AI106" i="4"/>
  <c r="AH106" i="4"/>
  <c r="AI105" i="4"/>
  <c r="AH105" i="4"/>
  <c r="AI104" i="4"/>
  <c r="AH104" i="4"/>
  <c r="AI103" i="4"/>
  <c r="AH103" i="4"/>
  <c r="AI102" i="4"/>
  <c r="AH102" i="4"/>
  <c r="AI101" i="4"/>
  <c r="AH101" i="4"/>
  <c r="AI100" i="4"/>
  <c r="AH100" i="4"/>
  <c r="AI99" i="4"/>
  <c r="AH99" i="4"/>
  <c r="AI97" i="4"/>
  <c r="AH97" i="4"/>
  <c r="AI96" i="4"/>
  <c r="AH96" i="4"/>
  <c r="AI95" i="4"/>
  <c r="AH95" i="4"/>
  <c r="AI94" i="4"/>
  <c r="AH94" i="4"/>
  <c r="AI93" i="4"/>
  <c r="AH93" i="4"/>
  <c r="AI92" i="4"/>
  <c r="AH92" i="4"/>
  <c r="AI91" i="4"/>
  <c r="AH91" i="4"/>
  <c r="AI88" i="4"/>
  <c r="AH88" i="4"/>
  <c r="AI86" i="4"/>
  <c r="AH86" i="4"/>
  <c r="AG86" i="4"/>
  <c r="AI85" i="4"/>
  <c r="AH85" i="4"/>
  <c r="AI84" i="4"/>
  <c r="AH84" i="4"/>
  <c r="AI83" i="4"/>
  <c r="AH83" i="4"/>
  <c r="AN82" i="4"/>
  <c r="AG82" i="4"/>
  <c r="AF82" i="4"/>
  <c r="AF98" i="4" s="1"/>
  <c r="AE82" i="4"/>
  <c r="AE98" i="4" s="1"/>
  <c r="AD82" i="4"/>
  <c r="AD98" i="4" s="1"/>
  <c r="AC82" i="4"/>
  <c r="AC98" i="4" s="1"/>
  <c r="AB82" i="4"/>
  <c r="AB98" i="4" s="1"/>
  <c r="AA82" i="4"/>
  <c r="AA98" i="4" s="1"/>
  <c r="Y82" i="4"/>
  <c r="Y98" i="4" s="1"/>
  <c r="X82" i="4"/>
  <c r="X98" i="4" s="1"/>
  <c r="W82" i="4"/>
  <c r="W98" i="4" s="1"/>
  <c r="V82" i="4"/>
  <c r="V98" i="4" s="1"/>
  <c r="U82" i="4"/>
  <c r="U98" i="4" s="1"/>
  <c r="T82" i="4"/>
  <c r="T98" i="4" s="1"/>
  <c r="S82" i="4"/>
  <c r="S98" i="4" s="1"/>
  <c r="R82" i="4"/>
  <c r="R98" i="4" s="1"/>
  <c r="Q82" i="4"/>
  <c r="Q98" i="4" s="1"/>
  <c r="P82" i="4"/>
  <c r="P98" i="4" s="1"/>
  <c r="O82" i="4"/>
  <c r="O98" i="4" s="1"/>
  <c r="N82" i="4"/>
  <c r="N98" i="4" s="1"/>
  <c r="M82" i="4"/>
  <c r="M98" i="4" s="1"/>
  <c r="L82" i="4"/>
  <c r="L98" i="4" s="1"/>
  <c r="K82" i="4"/>
  <c r="K98" i="4" s="1"/>
  <c r="J82" i="4"/>
  <c r="J98" i="4" s="1"/>
  <c r="I82" i="4"/>
  <c r="I98" i="4" s="1"/>
  <c r="H82" i="4"/>
  <c r="H98" i="4" s="1"/>
  <c r="G82" i="4"/>
  <c r="G98" i="4" s="1"/>
  <c r="F82" i="4"/>
  <c r="F98" i="4" s="1"/>
  <c r="E82" i="4"/>
  <c r="E98" i="4" s="1"/>
  <c r="D82" i="4"/>
  <c r="D98" i="4" s="1"/>
  <c r="C82" i="4"/>
  <c r="C98" i="4" s="1"/>
  <c r="B82" i="4"/>
  <c r="AI81" i="4"/>
  <c r="AH81" i="4"/>
  <c r="AN80" i="4"/>
  <c r="AI80" i="4"/>
  <c r="AH80" i="4"/>
  <c r="AN79" i="4"/>
  <c r="AN81" i="4" s="1"/>
  <c r="AI79" i="4"/>
  <c r="AH79" i="4"/>
  <c r="AI78" i="4"/>
  <c r="AH78" i="4"/>
  <c r="AI77" i="4"/>
  <c r="AH77" i="4"/>
  <c r="AI76" i="4"/>
  <c r="AH76" i="4"/>
  <c r="AI75" i="4"/>
  <c r="AH75" i="4"/>
  <c r="AI74" i="4"/>
  <c r="AH74" i="4"/>
  <c r="AI73" i="4"/>
  <c r="AH73" i="4"/>
  <c r="AI72" i="4"/>
  <c r="AH72" i="4"/>
  <c r="AI71" i="4"/>
  <c r="AH71" i="4"/>
  <c r="AG70" i="4"/>
  <c r="AF70" i="4"/>
  <c r="AE70" i="4"/>
  <c r="AD70" i="4"/>
  <c r="AC70" i="4"/>
  <c r="AB70" i="4"/>
  <c r="AA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B70" i="4"/>
  <c r="AI69" i="4"/>
  <c r="AH69" i="4"/>
  <c r="AI68" i="4"/>
  <c r="AH68" i="4"/>
  <c r="AI67" i="4"/>
  <c r="AH67" i="4"/>
  <c r="AF66" i="4"/>
  <c r="AE66" i="4"/>
  <c r="AD66" i="4"/>
  <c r="AC66" i="4"/>
  <c r="AB66" i="4"/>
  <c r="AA66" i="4"/>
  <c r="Y66" i="4"/>
  <c r="X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I65" i="4"/>
  <c r="AH65" i="4"/>
  <c r="AG65" i="4"/>
  <c r="AG66" i="4" s="1"/>
  <c r="AG3" i="4" s="1"/>
  <c r="AI64" i="4"/>
  <c r="AH64" i="4"/>
  <c r="AI63" i="4"/>
  <c r="AH63" i="4"/>
  <c r="AI62" i="4"/>
  <c r="AH62" i="4"/>
  <c r="AI61" i="4"/>
  <c r="AH61" i="4"/>
  <c r="AI60" i="4"/>
  <c r="AH60" i="4"/>
  <c r="AI59" i="4"/>
  <c r="AH59" i="4"/>
  <c r="AI58" i="4"/>
  <c r="AH58" i="4"/>
  <c r="AI57" i="4"/>
  <c r="AH57" i="4"/>
  <c r="AI56" i="4"/>
  <c r="AH56" i="4"/>
  <c r="AI55" i="4"/>
  <c r="AH55" i="4"/>
  <c r="AI54" i="4"/>
  <c r="AH54" i="4"/>
  <c r="AI53" i="4"/>
  <c r="AH53" i="4"/>
  <c r="AG52" i="4"/>
  <c r="AF52" i="4"/>
  <c r="AE52" i="4"/>
  <c r="AD52" i="4"/>
  <c r="AC52" i="4"/>
  <c r="AB52" i="4"/>
  <c r="AA52" i="4"/>
  <c r="Y52" i="4"/>
  <c r="X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I51" i="4"/>
  <c r="AH51" i="4"/>
  <c r="AI50" i="4"/>
  <c r="AH50" i="4"/>
  <c r="AI49" i="4"/>
  <c r="AH49" i="4"/>
  <c r="AG48" i="4"/>
  <c r="AF48" i="4"/>
  <c r="AE48" i="4"/>
  <c r="AE87" i="4" s="1"/>
  <c r="AE89" i="4" s="1"/>
  <c r="AD48" i="4"/>
  <c r="AC48" i="4"/>
  <c r="AB48" i="4"/>
  <c r="AA48" i="4"/>
  <c r="Y48" i="4"/>
  <c r="X48" i="4"/>
  <c r="V48" i="4"/>
  <c r="U48" i="4"/>
  <c r="T48" i="4"/>
  <c r="T87" i="4" s="1"/>
  <c r="T89" i="4" s="1"/>
  <c r="S48" i="4"/>
  <c r="R48" i="4"/>
  <c r="R87" i="4" s="1"/>
  <c r="R89" i="4" s="1"/>
  <c r="Q48" i="4"/>
  <c r="Q87" i="4" s="1"/>
  <c r="Q89" i="4" s="1"/>
  <c r="P48" i="4"/>
  <c r="P87" i="4" s="1"/>
  <c r="P89" i="4" s="1"/>
  <c r="O48" i="4"/>
  <c r="O87" i="4" s="1"/>
  <c r="O89" i="4" s="1"/>
  <c r="N48" i="4"/>
  <c r="N87" i="4" s="1"/>
  <c r="N89" i="4" s="1"/>
  <c r="M48" i="4"/>
  <c r="M87" i="4" s="1"/>
  <c r="M89" i="4" s="1"/>
  <c r="L48" i="4"/>
  <c r="L87" i="4" s="1"/>
  <c r="L89" i="4" s="1"/>
  <c r="K48" i="4"/>
  <c r="K87" i="4" s="1"/>
  <c r="K89" i="4" s="1"/>
  <c r="J48" i="4"/>
  <c r="J87" i="4" s="1"/>
  <c r="J89" i="4" s="1"/>
  <c r="I48" i="4"/>
  <c r="I87" i="4" s="1"/>
  <c r="I89" i="4" s="1"/>
  <c r="H48" i="4"/>
  <c r="H87" i="4" s="1"/>
  <c r="H89" i="4" s="1"/>
  <c r="G48" i="4"/>
  <c r="G87" i="4" s="1"/>
  <c r="G89" i="4" s="1"/>
  <c r="F48" i="4"/>
  <c r="F87" i="4" s="1"/>
  <c r="F89" i="4" s="1"/>
  <c r="E48" i="4"/>
  <c r="E87" i="4" s="1"/>
  <c r="E89" i="4" s="1"/>
  <c r="D48" i="4"/>
  <c r="D87" i="4" s="1"/>
  <c r="D89" i="4" s="1"/>
  <c r="C48" i="4"/>
  <c r="C87" i="4" s="1"/>
  <c r="C89" i="4" s="1"/>
  <c r="B48" i="4"/>
  <c r="B87" i="4" s="1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I38" i="4"/>
  <c r="AH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F5" i="4"/>
  <c r="AA5" i="4"/>
  <c r="Y5" i="4"/>
  <c r="T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G4" i="4"/>
  <c r="K4" i="4"/>
  <c r="E4" i="4"/>
  <c r="H4" i="4" s="1"/>
  <c r="B4" i="4"/>
  <c r="S243" i="4" s="1"/>
  <c r="AG2" i="4"/>
  <c r="AG6" i="4" s="1"/>
  <c r="AD5" i="4" l="1"/>
  <c r="AE5" i="4"/>
  <c r="AF87" i="4"/>
  <c r="AF89" i="4" s="1"/>
  <c r="AF90" i="4" s="1"/>
  <c r="AC5" i="4"/>
  <c r="AD87" i="4"/>
  <c r="AD89" i="4" s="1"/>
  <c r="AV246" i="4" s="1"/>
  <c r="AB5" i="4"/>
  <c r="AC87" i="4"/>
  <c r="AC89" i="4" s="1"/>
  <c r="AC90" i="4" s="1"/>
  <c r="AB87" i="4"/>
  <c r="AB89" i="4" s="1"/>
  <c r="AB90" i="4" s="1"/>
  <c r="X5" i="4"/>
  <c r="Y87" i="4"/>
  <c r="Y89" i="4" s="1"/>
  <c r="Y90" i="4" s="1"/>
  <c r="Z5" i="4"/>
  <c r="AA87" i="4"/>
  <c r="AA89" i="4" s="1"/>
  <c r="AA90" i="4" s="1"/>
  <c r="W5" i="4"/>
  <c r="X87" i="4"/>
  <c r="X89" i="4" s="1"/>
  <c r="AP246" i="4" s="1"/>
  <c r="W87" i="4"/>
  <c r="W89" i="4" s="1"/>
  <c r="V5" i="4"/>
  <c r="U5" i="4"/>
  <c r="AI70" i="4"/>
  <c r="V87" i="4"/>
  <c r="V89" i="4" s="1"/>
  <c r="V90" i="4" s="1"/>
  <c r="AI52" i="4"/>
  <c r="U87" i="4"/>
  <c r="U89" i="4" s="1"/>
  <c r="AM246" i="4" s="1"/>
  <c r="S5" i="4"/>
  <c r="AH82" i="4"/>
  <c r="R5" i="4"/>
  <c r="S87" i="4"/>
  <c r="S89" i="4" s="1"/>
  <c r="S90" i="4" s="1"/>
  <c r="AI66" i="4"/>
  <c r="D243" i="5"/>
  <c r="Y246" i="5"/>
  <c r="C241" i="5"/>
  <c r="B241" i="5"/>
  <c r="G7" i="5"/>
  <c r="G90" i="5"/>
  <c r="E7" i="5"/>
  <c r="W246" i="5"/>
  <c r="E90" i="5"/>
  <c r="M7" i="5"/>
  <c r="M90" i="5"/>
  <c r="AE246" i="5"/>
  <c r="U7" i="5"/>
  <c r="AM246" i="5"/>
  <c r="U90" i="5"/>
  <c r="AC7" i="5"/>
  <c r="AU246" i="5"/>
  <c r="AC90" i="5"/>
  <c r="AA90" i="5"/>
  <c r="AA7" i="5"/>
  <c r="AS246" i="5"/>
  <c r="AG246" i="5"/>
  <c r="O7" i="5"/>
  <c r="O90" i="5"/>
  <c r="F7" i="5"/>
  <c r="X246" i="5"/>
  <c r="F90" i="5"/>
  <c r="N7" i="5"/>
  <c r="AF246" i="5"/>
  <c r="N90" i="5"/>
  <c r="V7" i="5"/>
  <c r="AN246" i="5"/>
  <c r="V90" i="5"/>
  <c r="AD7" i="5"/>
  <c r="AV246" i="5"/>
  <c r="AD90" i="5"/>
  <c r="Z246" i="5"/>
  <c r="H90" i="5"/>
  <c r="H7" i="5"/>
  <c r="P90" i="5"/>
  <c r="P7" i="5"/>
  <c r="AH246" i="5"/>
  <c r="AP246" i="5"/>
  <c r="X90" i="5"/>
  <c r="X7" i="5"/>
  <c r="AF90" i="5"/>
  <c r="AF7" i="5"/>
  <c r="AX246" i="5"/>
  <c r="I90" i="5"/>
  <c r="I7" i="5"/>
  <c r="AA246" i="5"/>
  <c r="Q90" i="5"/>
  <c r="Q7" i="5"/>
  <c r="AI246" i="5"/>
  <c r="Y90" i="5"/>
  <c r="Y7" i="5"/>
  <c r="AQ246" i="5"/>
  <c r="AO246" i="5"/>
  <c r="W90" i="5"/>
  <c r="W7" i="5"/>
  <c r="AH87" i="5"/>
  <c r="AI87" i="5"/>
  <c r="B89" i="5"/>
  <c r="J90" i="5"/>
  <c r="J7" i="5"/>
  <c r="AB246" i="5"/>
  <c r="R90" i="5"/>
  <c r="R7" i="5"/>
  <c r="AJ246" i="5"/>
  <c r="Z90" i="5"/>
  <c r="Z7" i="5"/>
  <c r="AR246" i="5"/>
  <c r="C90" i="5"/>
  <c r="C7" i="5"/>
  <c r="U246" i="5"/>
  <c r="G226" i="5"/>
  <c r="K90" i="5"/>
  <c r="K7" i="5"/>
  <c r="AC246" i="5"/>
  <c r="J229" i="5"/>
  <c r="K229" i="5" s="1"/>
  <c r="L229" i="5" s="1"/>
  <c r="M229" i="5" s="1"/>
  <c r="N229" i="5" s="1"/>
  <c r="O229" i="5" s="1"/>
  <c r="P229" i="5" s="1"/>
  <c r="AW246" i="5"/>
  <c r="AE7" i="5"/>
  <c r="AE90" i="5"/>
  <c r="D90" i="5"/>
  <c r="D7" i="5"/>
  <c r="V246" i="5"/>
  <c r="L90" i="5"/>
  <c r="L7" i="5"/>
  <c r="AD246" i="5"/>
  <c r="T90" i="5"/>
  <c r="T7" i="5"/>
  <c r="AL246" i="5"/>
  <c r="AB90" i="5"/>
  <c r="AB7" i="5"/>
  <c r="AT246" i="5"/>
  <c r="S90" i="5"/>
  <c r="S7" i="5"/>
  <c r="AK246" i="5"/>
  <c r="AH66" i="5"/>
  <c r="G98" i="5"/>
  <c r="AH98" i="5" s="1"/>
  <c r="O98" i="5"/>
  <c r="AI98" i="5" s="1"/>
  <c r="W98" i="5"/>
  <c r="AE98" i="5"/>
  <c r="D108" i="5"/>
  <c r="E227" i="5"/>
  <c r="E231" i="5"/>
  <c r="AH82" i="5"/>
  <c r="AH48" i="5"/>
  <c r="AH52" i="5"/>
  <c r="AI82" i="5"/>
  <c r="AI48" i="5"/>
  <c r="B89" i="4"/>
  <c r="R7" i="4"/>
  <c r="AJ246" i="4"/>
  <c r="R90" i="4"/>
  <c r="U246" i="4"/>
  <c r="C90" i="4"/>
  <c r="C7" i="4"/>
  <c r="AC246" i="4"/>
  <c r="K90" i="4"/>
  <c r="K7" i="4"/>
  <c r="AS246" i="4"/>
  <c r="Z7" i="4"/>
  <c r="AR246" i="4"/>
  <c r="V246" i="4"/>
  <c r="D90" i="4"/>
  <c r="D7" i="4"/>
  <c r="AD246" i="4"/>
  <c r="L90" i="4"/>
  <c r="L7" i="4"/>
  <c r="AL246" i="4"/>
  <c r="T90" i="4"/>
  <c r="T7" i="4"/>
  <c r="AT246" i="4"/>
  <c r="J7" i="4"/>
  <c r="AB246" i="4"/>
  <c r="J90" i="4"/>
  <c r="W246" i="4"/>
  <c r="E90" i="4"/>
  <c r="E7" i="4"/>
  <c r="AE246" i="4"/>
  <c r="M90" i="4"/>
  <c r="M7" i="4"/>
  <c r="U7" i="4"/>
  <c r="X246" i="4"/>
  <c r="F90" i="4"/>
  <c r="F7" i="4"/>
  <c r="AF246" i="4"/>
  <c r="N90" i="4"/>
  <c r="N7" i="4"/>
  <c r="AD7" i="4"/>
  <c r="AG89" i="4"/>
  <c r="F108" i="4"/>
  <c r="G226" i="4"/>
  <c r="F232" i="4"/>
  <c r="Y246" i="4"/>
  <c r="C241" i="4"/>
  <c r="G90" i="4"/>
  <c r="B241" i="4"/>
  <c r="G7" i="4"/>
  <c r="AG246" i="4"/>
  <c r="O90" i="4"/>
  <c r="O7" i="4"/>
  <c r="AO246" i="4"/>
  <c r="W90" i="4"/>
  <c r="W7" i="4"/>
  <c r="AW246" i="4"/>
  <c r="AE90" i="4"/>
  <c r="AE7" i="4"/>
  <c r="J229" i="4"/>
  <c r="K229" i="4" s="1"/>
  <c r="L229" i="4" s="1"/>
  <c r="M229" i="4" s="1"/>
  <c r="N229" i="4" s="1"/>
  <c r="O229" i="4" s="1"/>
  <c r="P229" i="4" s="1"/>
  <c r="H90" i="4"/>
  <c r="H7" i="4"/>
  <c r="Z246" i="4"/>
  <c r="P90" i="4"/>
  <c r="P7" i="4"/>
  <c r="AH246" i="4"/>
  <c r="AX246" i="4"/>
  <c r="I7" i="4"/>
  <c r="AA246" i="4"/>
  <c r="I90" i="4"/>
  <c r="Q7" i="4"/>
  <c r="AI246" i="4"/>
  <c r="Q90" i="4"/>
  <c r="AG87" i="4"/>
  <c r="AH48" i="4"/>
  <c r="AH52" i="4"/>
  <c r="AI82" i="4"/>
  <c r="B98" i="4"/>
  <c r="E232" i="4"/>
  <c r="D243" i="4"/>
  <c r="AI48" i="4"/>
  <c r="G231" i="4"/>
  <c r="AH70" i="4"/>
  <c r="AH66" i="4"/>
  <c r="AD90" i="4" l="1"/>
  <c r="AC7" i="4"/>
  <c r="AF7" i="4"/>
  <c r="AU246" i="4"/>
  <c r="AB7" i="4"/>
  <c r="AA7" i="4"/>
  <c r="AQ246" i="4"/>
  <c r="Y7" i="4"/>
  <c r="X7" i="4"/>
  <c r="X90" i="4"/>
  <c r="V7" i="4"/>
  <c r="AN246" i="4"/>
  <c r="U90" i="4"/>
  <c r="AK246" i="4"/>
  <c r="AH87" i="4"/>
  <c r="AI87" i="4"/>
  <c r="S7" i="4"/>
  <c r="B90" i="5"/>
  <c r="AI89" i="5"/>
  <c r="AH89" i="5"/>
  <c r="B7" i="5"/>
  <c r="A7" i="5" s="1"/>
  <c r="T246" i="5"/>
  <c r="D267" i="5"/>
  <c r="F231" i="5"/>
  <c r="E108" i="5"/>
  <c r="H226" i="5"/>
  <c r="K6" i="5"/>
  <c r="E232" i="5"/>
  <c r="F227" i="5"/>
  <c r="F267" i="4"/>
  <c r="H231" i="4"/>
  <c r="H226" i="4"/>
  <c r="G232" i="4"/>
  <c r="G108" i="4"/>
  <c r="K6" i="4"/>
  <c r="AH98" i="4"/>
  <c r="AI98" i="4"/>
  <c r="AH89" i="4"/>
  <c r="B7" i="4"/>
  <c r="T246" i="4"/>
  <c r="B90" i="4"/>
  <c r="AI89" i="4"/>
  <c r="A7" i="4" l="1"/>
  <c r="G227" i="5"/>
  <c r="F232" i="5"/>
  <c r="E267" i="5"/>
  <c r="G231" i="5"/>
  <c r="F108" i="5"/>
  <c r="I226" i="5"/>
  <c r="AI90" i="5"/>
  <c r="AH90" i="5"/>
  <c r="AI90" i="4"/>
  <c r="AH90" i="4"/>
  <c r="I226" i="4"/>
  <c r="H232" i="4"/>
  <c r="H108" i="4"/>
  <c r="G267" i="4"/>
  <c r="I231" i="4"/>
  <c r="F267" i="5" l="1"/>
  <c r="H231" i="5"/>
  <c r="G108" i="5"/>
  <c r="J226" i="5"/>
  <c r="H227" i="5"/>
  <c r="G232" i="5"/>
  <c r="H267" i="4"/>
  <c r="J231" i="4"/>
  <c r="I108" i="4"/>
  <c r="J226" i="4"/>
  <c r="K226" i="5" l="1"/>
  <c r="G267" i="5"/>
  <c r="I231" i="5"/>
  <c r="H108" i="5"/>
  <c r="I227" i="5"/>
  <c r="H232" i="5"/>
  <c r="J108" i="4"/>
  <c r="K226" i="4"/>
  <c r="K231" i="4"/>
  <c r="I267" i="4"/>
  <c r="J227" i="5" l="1"/>
  <c r="H267" i="5"/>
  <c r="J231" i="5"/>
  <c r="I108" i="5"/>
  <c r="L226" i="5"/>
  <c r="J267" i="4"/>
  <c r="L231" i="4"/>
  <c r="K108" i="4"/>
  <c r="L226" i="4"/>
  <c r="K231" i="5" l="1"/>
  <c r="I267" i="5"/>
  <c r="J108" i="5"/>
  <c r="M226" i="5"/>
  <c r="K227" i="5"/>
  <c r="L108" i="4"/>
  <c r="M226" i="4"/>
  <c r="K267" i="4"/>
  <c r="M231" i="4"/>
  <c r="L227" i="5" l="1"/>
  <c r="N226" i="5"/>
  <c r="L231" i="5"/>
  <c r="J267" i="5"/>
  <c r="K108" i="5"/>
  <c r="M108" i="4"/>
  <c r="N226" i="4"/>
  <c r="L267" i="4"/>
  <c r="N231" i="4"/>
  <c r="K267" i="5" l="1"/>
  <c r="M231" i="5"/>
  <c r="L108" i="5"/>
  <c r="O226" i="5"/>
  <c r="M227" i="5"/>
  <c r="M267" i="4"/>
  <c r="O231" i="4"/>
  <c r="N108" i="4"/>
  <c r="O226" i="4"/>
  <c r="N227" i="5" l="1"/>
  <c r="P226" i="5"/>
  <c r="L267" i="5"/>
  <c r="N231" i="5"/>
  <c r="M108" i="5"/>
  <c r="P226" i="4"/>
  <c r="O108" i="4"/>
  <c r="N267" i="4"/>
  <c r="P231" i="4"/>
  <c r="O267" i="4" s="1"/>
  <c r="M267" i="5" l="1"/>
  <c r="O231" i="5"/>
  <c r="N108" i="5"/>
  <c r="O227" i="5"/>
  <c r="AI108" i="4"/>
  <c r="AH108" i="4"/>
  <c r="P227" i="5" l="1"/>
  <c r="N267" i="5"/>
  <c r="P231" i="5"/>
  <c r="O267" i="5" s="1"/>
  <c r="O108" i="5"/>
  <c r="AH108" i="5" l="1"/>
  <c r="AI108" i="5"/>
  <c r="P232" i="10" l="1"/>
  <c r="N232" i="19"/>
  <c r="M232" i="24"/>
  <c r="J232" i="19"/>
  <c r="J232" i="28"/>
  <c r="L232" i="15"/>
  <c r="K232" i="27"/>
  <c r="J232" i="24"/>
  <c r="O232" i="11"/>
  <c r="P232" i="26"/>
  <c r="O232" i="14"/>
  <c r="J232" i="18"/>
  <c r="L232" i="27"/>
  <c r="K232" i="23"/>
  <c r="O232" i="31"/>
  <c r="J232" i="15"/>
  <c r="O232" i="18"/>
  <c r="O232" i="6"/>
  <c r="L232" i="21"/>
  <c r="J232" i="23"/>
  <c r="N232" i="31"/>
  <c r="J232" i="4"/>
  <c r="L232" i="31"/>
  <c r="M232" i="28"/>
  <c r="M232" i="21"/>
  <c r="L232" i="14"/>
  <c r="K232" i="5"/>
  <c r="K232" i="12"/>
  <c r="L232" i="12"/>
  <c r="O232" i="29"/>
  <c r="M232" i="4"/>
  <c r="O232" i="17"/>
  <c r="O232" i="27"/>
  <c r="N232" i="6"/>
  <c r="N232" i="27"/>
  <c r="L232" i="4"/>
  <c r="O232" i="13"/>
  <c r="L232" i="5"/>
  <c r="O232" i="5"/>
  <c r="K232" i="21"/>
  <c r="L232" i="18"/>
  <c r="O232" i="8"/>
  <c r="J232" i="10"/>
  <c r="M232" i="9"/>
  <c r="O232" i="30"/>
  <c r="O228" i="6"/>
  <c r="P228" i="6"/>
  <c r="P232" i="6"/>
  <c r="O232" i="7"/>
  <c r="M232" i="13"/>
  <c r="K232" i="4"/>
  <c r="J232" i="31"/>
  <c r="K232" i="19"/>
  <c r="K232" i="18"/>
  <c r="N232" i="8"/>
  <c r="N232" i="21"/>
  <c r="N232" i="22"/>
  <c r="J232" i="12"/>
  <c r="K232" i="15"/>
  <c r="K232" i="10"/>
  <c r="K232" i="25"/>
  <c r="K232" i="11"/>
  <c r="O232" i="28"/>
  <c r="M232" i="8"/>
  <c r="M232" i="20"/>
  <c r="J232" i="27"/>
  <c r="P232" i="23"/>
  <c r="K232" i="24"/>
  <c r="P228" i="28"/>
  <c r="P232" i="28"/>
  <c r="N232" i="14"/>
  <c r="L232" i="6"/>
  <c r="K232" i="26"/>
  <c r="N232" i="26"/>
  <c r="L232" i="20"/>
  <c r="N232" i="30"/>
  <c r="J232" i="25"/>
  <c r="L232" i="13"/>
  <c r="L232" i="8"/>
  <c r="K232" i="6"/>
  <c r="P232" i="24"/>
  <c r="P228" i="17"/>
  <c r="P232" i="17"/>
  <c r="N232" i="7"/>
  <c r="K232" i="17"/>
  <c r="N232" i="16"/>
  <c r="P228" i="13"/>
  <c r="P232" i="13"/>
  <c r="N232" i="18"/>
  <c r="K232" i="9"/>
  <c r="L232" i="11"/>
  <c r="K232" i="29"/>
  <c r="N232" i="12"/>
  <c r="J232" i="8"/>
  <c r="J232" i="7"/>
  <c r="O228" i="31"/>
  <c r="P228" i="31"/>
  <c r="P232" i="31"/>
  <c r="K232" i="31"/>
  <c r="L232" i="19"/>
  <c r="N232" i="24"/>
  <c r="O232" i="21"/>
  <c r="O232" i="9"/>
  <c r="P228" i="10"/>
  <c r="O232" i="10"/>
  <c r="M232" i="12"/>
  <c r="J232" i="16"/>
  <c r="M232" i="15"/>
  <c r="O228" i="30"/>
  <c r="P228" i="30"/>
  <c r="P232" i="30"/>
  <c r="J232" i="21"/>
  <c r="L232" i="10"/>
  <c r="L232" i="25"/>
  <c r="J232" i="9"/>
  <c r="J232" i="22"/>
  <c r="J232" i="29"/>
  <c r="O232" i="22"/>
  <c r="L232" i="24"/>
  <c r="M232" i="14"/>
  <c r="P228" i="26"/>
  <c r="O228" i="26"/>
  <c r="O232" i="26"/>
  <c r="N228" i="31"/>
  <c r="J228" i="31"/>
  <c r="K228" i="31"/>
  <c r="L228" i="31"/>
  <c r="M228" i="31"/>
  <c r="M232" i="31"/>
  <c r="J232" i="5"/>
  <c r="K232" i="8"/>
  <c r="N232" i="17"/>
  <c r="O228" i="17"/>
  <c r="N232" i="23"/>
  <c r="J232" i="14"/>
  <c r="O228" i="27"/>
  <c r="P228" i="27"/>
  <c r="P232" i="27"/>
  <c r="O232" i="16"/>
  <c r="O232" i="23"/>
  <c r="O228" i="23"/>
  <c r="P228" i="23"/>
  <c r="N232" i="5"/>
  <c r="M232" i="22"/>
  <c r="J232" i="17"/>
  <c r="J232" i="26"/>
  <c r="M232" i="11"/>
  <c r="O232" i="4"/>
  <c r="J232" i="6"/>
  <c r="N232" i="9"/>
  <c r="M232" i="23"/>
  <c r="N228" i="23"/>
  <c r="M232" i="19"/>
  <c r="M232" i="18"/>
  <c r="J228" i="21"/>
  <c r="K228" i="21"/>
  <c r="L228" i="21"/>
  <c r="M228" i="21"/>
  <c r="N228" i="21"/>
  <c r="O228" i="21"/>
  <c r="P228" i="21"/>
  <c r="P232" i="21"/>
  <c r="M232" i="10"/>
  <c r="K232" i="16"/>
  <c r="N232" i="15"/>
  <c r="K232" i="7"/>
  <c r="L232" i="23"/>
  <c r="I232" i="23"/>
  <c r="I228" i="23"/>
  <c r="J228" i="23"/>
  <c r="K228" i="23"/>
  <c r="L228" i="23"/>
  <c r="M228" i="23"/>
  <c r="M232" i="25"/>
  <c r="N228" i="22"/>
  <c r="O228" i="22"/>
  <c r="P228" i="22"/>
  <c r="P232" i="22"/>
  <c r="N228" i="9"/>
  <c r="O228" i="9"/>
  <c r="P228" i="9"/>
  <c r="P232" i="9"/>
  <c r="J232" i="30"/>
  <c r="O228" i="16"/>
  <c r="P228" i="16"/>
  <c r="P232" i="16"/>
  <c r="J232" i="13"/>
  <c r="O228" i="7"/>
  <c r="P228" i="7"/>
  <c r="P232" i="7"/>
  <c r="M232" i="6"/>
  <c r="I232" i="6"/>
  <c r="I228" i="6"/>
  <c r="J228" i="6"/>
  <c r="K228" i="6"/>
  <c r="L228" i="6"/>
  <c r="M228" i="6"/>
  <c r="N228" i="6"/>
  <c r="M232" i="27"/>
  <c r="I232" i="27"/>
  <c r="I228" i="27"/>
  <c r="J228" i="27"/>
  <c r="K228" i="27"/>
  <c r="L228" i="27"/>
  <c r="M228" i="27"/>
  <c r="N228" i="27"/>
  <c r="K232" i="20"/>
  <c r="K232" i="28"/>
  <c r="N232" i="11"/>
  <c r="O232" i="19"/>
  <c r="L232" i="16"/>
  <c r="J232" i="20"/>
  <c r="M232" i="5"/>
  <c r="K232" i="22"/>
  <c r="N232" i="4"/>
  <c r="M232" i="7"/>
  <c r="N228" i="7"/>
  <c r="K232" i="30"/>
  <c r="O228" i="10"/>
  <c r="K228" i="10"/>
  <c r="L228" i="10"/>
  <c r="M228" i="10"/>
  <c r="N228" i="10"/>
  <c r="N232" i="10"/>
  <c r="O232" i="12"/>
  <c r="O232" i="15"/>
  <c r="L232" i="7"/>
  <c r="I232" i="7"/>
  <c r="I228" i="7"/>
  <c r="J228" i="7"/>
  <c r="K228" i="7"/>
  <c r="L228" i="7"/>
  <c r="M228" i="7"/>
  <c r="N232" i="20"/>
  <c r="N232" i="25"/>
  <c r="M228" i="9"/>
  <c r="I232" i="9"/>
  <c r="I228" i="9"/>
  <c r="J228" i="9"/>
  <c r="K228" i="9"/>
  <c r="L228" i="9"/>
  <c r="L232" i="9"/>
  <c r="I232" i="8"/>
  <c r="I228" i="8"/>
  <c r="J228" i="8"/>
  <c r="K228" i="8"/>
  <c r="L228" i="8"/>
  <c r="M228" i="8"/>
  <c r="N228" i="8"/>
  <c r="O228" i="8"/>
  <c r="P228" i="8"/>
  <c r="P232" i="8"/>
  <c r="L232" i="29"/>
  <c r="O232" i="24"/>
  <c r="J228" i="24"/>
  <c r="K228" i="24"/>
  <c r="L228" i="24"/>
  <c r="M228" i="24"/>
  <c r="N228" i="24"/>
  <c r="O228" i="24"/>
  <c r="P228" i="24"/>
  <c r="N232" i="28"/>
  <c r="N228" i="28"/>
  <c r="O228" i="28"/>
  <c r="L232" i="30"/>
  <c r="O232" i="20"/>
  <c r="L232" i="17"/>
  <c r="O228" i="13"/>
  <c r="M228" i="13"/>
  <c r="N228" i="13"/>
  <c r="N232" i="13"/>
  <c r="L232" i="22"/>
  <c r="I232" i="22"/>
  <c r="I228" i="22"/>
  <c r="J228" i="22"/>
  <c r="K228" i="22"/>
  <c r="L228" i="22"/>
  <c r="M228" i="22"/>
  <c r="I232" i="12"/>
  <c r="I228" i="12"/>
  <c r="J228" i="12"/>
  <c r="K228" i="12"/>
  <c r="L228" i="12"/>
  <c r="M228" i="12"/>
  <c r="N228" i="12"/>
  <c r="O228" i="12"/>
  <c r="P228" i="12"/>
  <c r="P232" i="12"/>
  <c r="N228" i="16"/>
  <c r="I232" i="16"/>
  <c r="I228" i="16"/>
  <c r="J228" i="16"/>
  <c r="K228" i="16"/>
  <c r="L228" i="16"/>
  <c r="M228" i="16"/>
  <c r="M232" i="16"/>
  <c r="K228" i="15"/>
  <c r="L228" i="15"/>
  <c r="M228" i="15"/>
  <c r="N228" i="15"/>
  <c r="O228" i="15"/>
  <c r="P228" i="15"/>
  <c r="P232" i="15"/>
  <c r="J228" i="10"/>
  <c r="O232" i="25"/>
  <c r="J232" i="11"/>
  <c r="L228" i="13"/>
  <c r="I232" i="13"/>
  <c r="I228" i="13"/>
  <c r="J228" i="13"/>
  <c r="K228" i="13"/>
  <c r="K232" i="13"/>
  <c r="L232" i="26"/>
  <c r="M232" i="29"/>
  <c r="M228" i="28"/>
  <c r="I232" i="28"/>
  <c r="I228" i="28"/>
  <c r="J228" i="28"/>
  <c r="K228" i="28"/>
  <c r="L228" i="28"/>
  <c r="L232" i="28"/>
  <c r="M228" i="14"/>
  <c r="N228" i="14"/>
  <c r="O228" i="14"/>
  <c r="P228" i="14"/>
  <c r="P232" i="14"/>
  <c r="N232" i="29"/>
  <c r="I232" i="24"/>
  <c r="I228" i="24"/>
  <c r="I232" i="21"/>
  <c r="I228" i="21"/>
  <c r="L228" i="14"/>
  <c r="I232" i="14"/>
  <c r="I228" i="14"/>
  <c r="J228" i="14"/>
  <c r="K228" i="14"/>
  <c r="K232" i="14"/>
  <c r="I232" i="20"/>
  <c r="I228" i="20"/>
  <c r="J228" i="20"/>
  <c r="K228" i="20"/>
  <c r="L228" i="20"/>
  <c r="M228" i="20"/>
  <c r="N228" i="20"/>
  <c r="O228" i="20"/>
  <c r="P228" i="20"/>
  <c r="P232" i="20"/>
  <c r="M232" i="30"/>
  <c r="I232" i="30"/>
  <c r="I228" i="30"/>
  <c r="J228" i="30"/>
  <c r="K228" i="30"/>
  <c r="L228" i="30"/>
  <c r="M228" i="30"/>
  <c r="N228" i="30"/>
  <c r="I232" i="11"/>
  <c r="I228" i="11"/>
  <c r="J228" i="11"/>
  <c r="K228" i="11"/>
  <c r="L228" i="11"/>
  <c r="M228" i="11"/>
  <c r="N228" i="11"/>
  <c r="O228" i="11"/>
  <c r="P228" i="11"/>
  <c r="P232" i="11"/>
  <c r="J228" i="19"/>
  <c r="K228" i="19"/>
  <c r="L228" i="19"/>
  <c r="M228" i="19"/>
  <c r="N228" i="19"/>
  <c r="O228" i="19"/>
  <c r="P228" i="19"/>
  <c r="P232" i="19"/>
  <c r="I232" i="4"/>
  <c r="I228" i="4"/>
  <c r="J228" i="4"/>
  <c r="K228" i="4"/>
  <c r="L228" i="4"/>
  <c r="M228" i="4"/>
  <c r="N228" i="4"/>
  <c r="O228" i="4"/>
  <c r="P228" i="4"/>
  <c r="P232" i="4"/>
  <c r="I232" i="19"/>
  <c r="I228" i="19"/>
  <c r="I232" i="18"/>
  <c r="I228" i="18"/>
  <c r="J228" i="18"/>
  <c r="K228" i="18"/>
  <c r="L228" i="18"/>
  <c r="M228" i="18"/>
  <c r="N228" i="18"/>
  <c r="O228" i="18"/>
  <c r="P228" i="18"/>
  <c r="P232" i="18"/>
  <c r="M232" i="26"/>
  <c r="I232" i="26"/>
  <c r="I228" i="26"/>
  <c r="J228" i="26"/>
  <c r="K228" i="26"/>
  <c r="L228" i="26"/>
  <c r="M228" i="26"/>
  <c r="N228" i="26"/>
  <c r="I232" i="10"/>
  <c r="I228" i="10"/>
  <c r="I232" i="25"/>
  <c r="I228" i="25"/>
  <c r="J228" i="25"/>
  <c r="K228" i="25"/>
  <c r="L228" i="25"/>
  <c r="M228" i="25"/>
  <c r="N228" i="25"/>
  <c r="O228" i="25"/>
  <c r="P228" i="25"/>
  <c r="P232" i="25"/>
  <c r="I232" i="31"/>
  <c r="I228" i="31"/>
  <c r="N228" i="17"/>
  <c r="I232" i="17"/>
  <c r="I228" i="17"/>
  <c r="J228" i="17"/>
  <c r="K228" i="17"/>
  <c r="L228" i="17"/>
  <c r="M228" i="17"/>
  <c r="M232" i="17"/>
  <c r="J228" i="15"/>
  <c r="I232" i="29"/>
  <c r="I228" i="29"/>
  <c r="J228" i="29"/>
  <c r="K228" i="29"/>
  <c r="L228" i="29"/>
  <c r="M228" i="29"/>
  <c r="N228" i="29"/>
  <c r="O228" i="29"/>
  <c r="P228" i="29"/>
  <c r="P232" i="29"/>
  <c r="I232" i="5"/>
  <c r="I228" i="5"/>
  <c r="J228" i="5"/>
  <c r="K228" i="5"/>
  <c r="L228" i="5"/>
  <c r="M228" i="5"/>
  <c r="N228" i="5"/>
  <c r="O228" i="5"/>
  <c r="P228" i="5"/>
  <c r="P232" i="5"/>
  <c r="I232" i="15"/>
  <c r="I228" i="15"/>
</calcChain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  <comment ref="AA8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Dhalke Ease tripped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<sst xmlns="http://schemas.openxmlformats.org/spreadsheetml/2006/main" count="7509" uniqueCount="271">
  <si>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</si>
  <si>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</si>
  <si>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</si>
  <si>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</si>
  <si>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</si>
  <si>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</si>
  <si>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</si>
  <si>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</si>
  <si>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</si>
  <si>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</si>
  <si>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</si>
  <si>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</si>
  <si>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</si>
  <si>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</si>
  <si>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</si>
  <si>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</si>
  <si>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</si>
  <si>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</si>
  <si>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</si>
  <si>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Solu Khola Dudhkoshi(86)</t>
  </si>
  <si>
    <t>Likhu-IV(52.4)</t>
  </si>
  <si>
    <t>Upper Marsyangdi "A"(50)</t>
  </si>
  <si>
    <t>Upper Bhotekoshi Khola(45)</t>
  </si>
  <si>
    <t>Mistri Khola(42)</t>
  </si>
  <si>
    <t>Upper Kalanga Gad(38.46)</t>
  </si>
  <si>
    <t>Upper Balefi (36)</t>
  </si>
  <si>
    <t>Nyadi(30)</t>
  </si>
  <si>
    <t>Likhu Khola A(29.04)</t>
  </si>
  <si>
    <t>Lower Likhu(28)</t>
  </si>
  <si>
    <t>Dordi(27)</t>
  </si>
  <si>
    <t>Upper Madi(25)</t>
  </si>
  <si>
    <t>Kabeli B-1(25)</t>
  </si>
  <si>
    <t>Singati Khola(25)</t>
  </si>
  <si>
    <t>Upper Dordi (25)</t>
  </si>
  <si>
    <t>Solu Khola(23.5)</t>
  </si>
  <si>
    <t>Upper Chaku A(22.2)</t>
  </si>
  <si>
    <t>Tallo Hewa Khola(22.1)</t>
  </si>
  <si>
    <t xml:space="preserve"> Sanima Mai Khola(22)</t>
  </si>
  <si>
    <t>Bagmati Khola Small(22)</t>
  </si>
  <si>
    <t>Lower Modi (20)</t>
  </si>
  <si>
    <t>Middle Modi (18)</t>
  </si>
  <si>
    <t>Kalanga Gad(15.33)</t>
  </si>
  <si>
    <t>Hewa Khola A(14.9)</t>
  </si>
  <si>
    <t>Thapa Khola(13.6)</t>
  </si>
  <si>
    <t>Madkyu Khola(13)</t>
  </si>
  <si>
    <t>Dordi12)</t>
  </si>
  <si>
    <t>Jhimruk Khola(12)</t>
  </si>
  <si>
    <t>Upper Khimti(12)</t>
  </si>
  <si>
    <t>Upper Mai Khola (12)</t>
  </si>
  <si>
    <t>Namarjun Madi(11.88)</t>
  </si>
  <si>
    <t>Lower Khare(11)</t>
  </si>
  <si>
    <t>Lower Modi 1(10)</t>
  </si>
  <si>
    <t>Makari Gad(10.0)</t>
  </si>
  <si>
    <t>Mithila Solar PV Electric Project(10)</t>
  </si>
  <si>
    <t>Other IPP Total</t>
  </si>
  <si>
    <t>Kabeli Corridor</t>
  </si>
  <si>
    <t>Total IPP</t>
  </si>
  <si>
    <t>Upper Tamakoshi(456)</t>
  </si>
  <si>
    <t>Khimti Khola(60)</t>
  </si>
  <si>
    <t>Chilime(22.1)</t>
  </si>
  <si>
    <t>Total NEA SUBSIDIARIES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</si>
  <si>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</si>
  <si>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</si>
  <si>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</si>
  <si>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</si>
  <si>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</si>
  <si>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</si>
  <si>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</si>
  <si>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</si>
  <si>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</si>
  <si>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</si>
  <si>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</si>
  <si>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</si>
  <si>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</si>
  <si>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</si>
  <si>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</si>
  <si>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</si>
  <si>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</si>
  <si>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</si>
  <si>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</si>
  <si>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</si>
  <si>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</si>
  <si>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</si>
  <si>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</si>
  <si>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</si>
  <si>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</si>
  <si>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 xml:space="preserve">UTK Discharge Test </t>
  </si>
  <si>
    <t>JALESHWOR(33kV)</t>
  </si>
  <si>
    <t>RAJBIRAJ(33kV)</t>
  </si>
  <si>
    <t>Line1</t>
  </si>
  <si>
    <t>RAXAUL(33kV)</t>
  </si>
  <si>
    <t>Line 2</t>
  </si>
  <si>
    <t>OTHERS IMPORT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</si>
  <si>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</si>
  <si>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</si>
  <si>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</si>
  <si>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</si>
  <si>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</si>
  <si>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</si>
  <si>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</si>
  <si>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</si>
  <si>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</si>
  <si>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</si>
  <si>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</si>
  <si>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</si>
  <si>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</si>
  <si>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</si>
  <si>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</si>
  <si>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</si>
  <si>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</si>
  <si>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</si>
  <si>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</si>
  <si>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</si>
  <si>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</si>
  <si>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</si>
  <si>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/>
  </si>
  <si>
    <t>Kathmandu Load</t>
  </si>
  <si>
    <t>MRS-SYU</t>
  </si>
  <si>
    <t>NMRS-MATA</t>
  </si>
  <si>
    <t>KL2-MATA</t>
  </si>
  <si>
    <t>KL1-SYU</t>
  </si>
  <si>
    <t>KHIMTI-LAMOSAGU</t>
  </si>
  <si>
    <t>DHALKE-CHAPUR I</t>
  </si>
  <si>
    <t>NBHARATPUR-BARDGHAT</t>
  </si>
  <si>
    <t>DAMAK-DUHABI</t>
  </si>
  <si>
    <t>DHALKE-MIRCHAIYA</t>
  </si>
  <si>
    <t>Others IPP Detail</t>
  </si>
  <si>
    <t>Upper Mai Khola(9.98)</t>
  </si>
  <si>
    <t>Kabeli B-1 Cascade(9.94)</t>
  </si>
  <si>
    <t>Iwa Khola(9.9)</t>
  </si>
  <si>
    <t>Sipring Khola(9.658)</t>
  </si>
  <si>
    <t>Super Mai 'A' (9.6)</t>
  </si>
  <si>
    <t>Mai Beni(9.51)</t>
  </si>
  <si>
    <t>Andhi Khola(9.4)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</si>
  <si>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</si>
  <si>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</si>
  <si>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</si>
  <si>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</si>
  <si>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</si>
  <si>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</si>
  <si>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</si>
  <si>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</si>
  <si>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</si>
  <si>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</si>
  <si>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</si>
  <si>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</si>
  <si>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</si>
  <si>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</si>
  <si>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</si>
  <si>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</si>
  <si>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</si>
  <si>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</si>
  <si>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</si>
  <si>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</si>
  <si>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</si>
  <si>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</si>
  <si>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</si>
  <si>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</si>
  <si>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</si>
  <si>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</si>
  <si>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</si>
  <si>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</si>
  <si>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</si>
  <si>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</si>
  <si>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</si>
  <si>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</si>
  <si>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</si>
  <si>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</si>
  <si>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</si>
  <si>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</si>
  <si>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</si>
  <si>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</si>
  <si>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</si>
  <si>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</si>
  <si>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</si>
  <si>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</si>
  <si>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</si>
  <si>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</si>
  <si>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</si>
  <si>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</si>
  <si>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</si>
  <si>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</si>
  <si>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</si>
  <si>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</si>
  <si>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</si>
  <si>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</si>
  <si>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</si>
  <si>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</si>
  <si>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</si>
  <si>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</si>
  <si>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</si>
  <si>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</si>
  <si>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</si>
  <si>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</si>
  <si>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</si>
  <si>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</si>
  <si>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</si>
  <si>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</si>
  <si>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</si>
  <si>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</si>
  <si>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</si>
  <si>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</si>
  <si>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</si>
  <si>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</si>
  <si>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</si>
  <si>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</si>
  <si>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</si>
  <si>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</si>
  <si>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</si>
  <si>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</si>
  <si>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</si>
  <si>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</si>
  <si>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</si>
  <si>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</si>
  <si>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</si>
  <si>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</si>
  <si>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</si>
  <si>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</si>
  <si>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</si>
  <si>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</si>
  <si>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</si>
  <si>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</si>
  <si>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</si>
  <si>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</si>
  <si>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</si>
  <si>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</si>
  <si>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</si>
  <si>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</si>
  <si>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</si>
  <si>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</si>
  <si>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</si>
  <si>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</si>
  <si>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</si>
  <si>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</si>
  <si>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</si>
  <si>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</si>
  <si>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</si>
  <si>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</si>
  <si>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</si>
  <si>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</si>
  <si>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</si>
  <si>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</si>
  <si>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</si>
  <si>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</si>
  <si>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</si>
  <si>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</si>
  <si>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</si>
  <si>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</si>
  <si>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</si>
  <si>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</si>
  <si>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</si>
  <si>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</si>
  <si>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</si>
  <si>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</si>
  <si>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</si>
  <si>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>PN</t>
  </si>
  <si>
    <t>71.3.</t>
  </si>
  <si>
    <t>p</t>
  </si>
  <si>
    <t>a</t>
  </si>
  <si>
    <t>r</t>
  </si>
  <si>
    <t>t</t>
  </si>
  <si>
    <t>i</t>
  </si>
  <si>
    <t>l</t>
  </si>
  <si>
    <t>s</t>
  </si>
  <si>
    <t>y</t>
  </si>
  <si>
    <t>e</t>
  </si>
  <si>
    <t>m</t>
  </si>
  <si>
    <t>c</t>
  </si>
  <si>
    <t>o</t>
  </si>
  <si>
    <t xml:space="preserve"> </t>
  </si>
  <si>
    <t>64..9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</si>
</sst>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0"/>
      <color rgb="FFFF0000"/>
      <name val="Times New Roman"/>
      <family val="1"/>
    </font>
    <font>
      <b/>
      <sz val="8"/>
      <name val="Arial Narrow"/>
      <family val="2"/>
    </font>
  </fonts>
  <fills count="1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164" fontId="1" fillId="0" borderId="0"/>
    <xf numFmtId="164" fontId="33" fillId="0" borderId="0"/>
    <xf numFmtId="164" fontId="33" fillId="0" borderId="0"/>
    <xf numFmtId="0" fontId="33" fillId="0" borderId="0"/>
    <xf numFmtId="0" fontId="33" fillId="0" borderId="0"/>
    <xf numFmtId="164" fontId="34" fillId="0" borderId="0"/>
    <xf numFmtId="164" fontId="34" fillId="0" borderId="0"/>
    <xf numFmtId="0" fontId="34" fillId="0" borderId="0"/>
    <xf numFmtId="0" fontId="34" fillId="0" borderId="0"/>
    <xf numFmtId="0" fontId="35" fillId="0" borderId="0"/>
    <xf numFmtId="164" fontId="1" fillId="0" borderId="0"/>
    <xf numFmtId="0" fontId="35" fillId="0" borderId="0"/>
  </cellStyleXfs>
  <cellXfs count="250">
    <xf numFmtId="0" fontId="0" fillId="0" borderId="0" xfId="0"/>
    <xf numFmtId="164" fontId="1" fillId="0" borderId="0" xfId="2" applyNumberFormat="1"/>
    <xf numFmtId="164" fontId="1" fillId="0" borderId="0" xfId="2"/>
    <xf numFmtId="164" fontId="1" fillId="0" borderId="0" xfId="2" applyFill="1" applyBorder="1" applyProtection="1">
      <protection locked="0"/>
    </xf>
    <xf numFmtId="164" fontId="1" fillId="0" borderId="0" xfId="2" applyFill="1" applyBorder="1"/>
    <xf numFmtId="164" fontId="6" fillId="0" borderId="0" xfId="2" applyFont="1" applyAlignment="1">
      <alignment vertical="center"/>
    </xf>
    <xf numFmtId="164" fontId="7" fillId="0" borderId="2" xfId="2" applyFont="1" applyBorder="1" applyAlignment="1">
      <alignment vertical="center"/>
    </xf>
    <xf numFmtId="164" fontId="7" fillId="0" borderId="4" xfId="2" applyFont="1" applyBorder="1" applyAlignment="1">
      <alignment vertical="center"/>
    </xf>
    <xf numFmtId="164" fontId="4" fillId="0" borderId="6" xfId="2" applyFont="1" applyBorder="1" applyAlignment="1">
      <alignment horizontal="center" vertical="center"/>
    </xf>
    <xf numFmtId="164" fontId="4" fillId="0" borderId="6" xfId="2" applyFont="1" applyBorder="1" applyAlignment="1">
      <alignment vertical="center"/>
    </xf>
    <xf numFmtId="164" fontId="4" fillId="0" borderId="0" xfId="2" applyFont="1" applyBorder="1" applyAlignment="1">
      <alignment vertical="center"/>
    </xf>
    <xf numFmtId="14" fontId="8" fillId="0" borderId="0" xfId="2" applyNumberFormat="1" applyFont="1" applyBorder="1" applyAlignment="1">
      <alignment vertical="center"/>
    </xf>
    <xf numFmtId="164" fontId="4" fillId="0" borderId="0" xfId="2" applyFont="1" applyAlignment="1">
      <alignment vertical="center"/>
    </xf>
    <xf numFmtId="43" fontId="9" fillId="3" borderId="0" xfId="1" applyFont="1" applyFill="1" applyAlignment="1">
      <alignment horizontal="center"/>
    </xf>
    <xf numFmtId="164" fontId="9" fillId="3" borderId="0" xfId="2" applyFont="1" applyFill="1"/>
    <xf numFmtId="164" fontId="1" fillId="3" borderId="0" xfId="2" applyFill="1"/>
    <xf numFmtId="164" fontId="10" fillId="0" borderId="0" xfId="2" applyFont="1" applyFill="1" applyBorder="1" applyAlignment="1">
      <alignment horizontal="center" vertical="center"/>
    </xf>
    <xf numFmtId="164" fontId="11" fillId="0" borderId="0" xfId="2" applyFont="1"/>
    <xf numFmtId="164" fontId="12" fillId="0" borderId="0" xfId="2" applyFont="1" applyAlignment="1">
      <alignment vertical="center"/>
    </xf>
    <xf numFmtId="164" fontId="7" fillId="0" borderId="8" xfId="2" applyFont="1" applyBorder="1" applyAlignment="1">
      <alignment vertical="center"/>
    </xf>
    <xf numFmtId="164" fontId="7" fillId="0" borderId="10" xfId="2" applyFont="1" applyBorder="1" applyAlignment="1">
      <alignment vertical="center"/>
    </xf>
    <xf numFmtId="164" fontId="1" fillId="0" borderId="6" xfId="2" applyBorder="1" applyAlignment="1">
      <alignment horizontal="center" vertical="center"/>
    </xf>
    <xf numFmtId="164" fontId="3" fillId="0" borderId="0" xfId="2" applyFont="1" applyAlignment="1">
      <alignment horizontal="center" vertical="center"/>
    </xf>
    <xf numFmtId="164" fontId="3" fillId="0" borderId="0" xfId="2" applyFont="1" applyAlignment="1">
      <alignment vertical="center"/>
    </xf>
    <xf numFmtId="164" fontId="12" fillId="0" borderId="0" xfId="2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1" fillId="0" borderId="0" xfId="2" applyNumberFormat="1" applyFill="1" applyBorder="1" applyAlignment="1">
      <alignment horizontal="center" vertical="center"/>
    </xf>
    <xf numFmtId="165" fontId="14" fillId="0" borderId="0" xfId="2" applyNumberFormat="1" applyFont="1" applyFill="1" applyBorder="1" applyAlignment="1"/>
    <xf numFmtId="164" fontId="15" fillId="4" borderId="0" xfId="2" applyFont="1" applyFill="1" applyAlignment="1">
      <alignment horizontal="right" vertical="center"/>
    </xf>
    <xf numFmtId="164" fontId="16" fillId="0" borderId="0" xfId="2" applyFont="1" applyAlignment="1">
      <alignment vertical="center"/>
    </xf>
    <xf numFmtId="164" fontId="17" fillId="0" borderId="0" xfId="2" applyFont="1" applyAlignment="1">
      <alignment vertical="center"/>
    </xf>
    <xf numFmtId="164" fontId="1" fillId="0" borderId="0" xfId="2" applyAlignment="1">
      <alignment horizontal="center" vertical="center"/>
    </xf>
    <xf numFmtId="164" fontId="15" fillId="4" borderId="0" xfId="2" applyFont="1" applyFill="1" applyAlignment="1">
      <alignment vertical="center"/>
    </xf>
    <xf numFmtId="166" fontId="1" fillId="5" borderId="0" xfId="2" applyNumberFormat="1" applyFill="1"/>
    <xf numFmtId="164" fontId="1" fillId="5" borderId="0" xfId="2" applyFill="1"/>
    <xf numFmtId="164" fontId="15" fillId="4" borderId="0" xfId="2" applyNumberFormat="1" applyFont="1" applyFill="1" applyAlignment="1">
      <alignment horizontal="left" vertical="center"/>
    </xf>
    <xf numFmtId="164" fontId="18" fillId="3" borderId="0" xfId="2" applyFont="1" applyFill="1"/>
    <xf numFmtId="164" fontId="19" fillId="0" borderId="0" xfId="2" applyFont="1" applyAlignment="1">
      <alignment horizontal="left" vertical="center"/>
    </xf>
    <xf numFmtId="1" fontId="20" fillId="0" borderId="0" xfId="2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164" fontId="1" fillId="0" borderId="0" xfId="2" applyFill="1"/>
    <xf numFmtId="164" fontId="2" fillId="0" borderId="0" xfId="2" applyFont="1" applyFill="1"/>
    <xf numFmtId="20" fontId="1" fillId="0" borderId="0" xfId="2" applyNumberFormat="1" applyAlignment="1">
      <alignment horizontal="center" vertical="center"/>
    </xf>
    <xf numFmtId="164" fontId="12" fillId="0" borderId="12" xfId="2" applyFont="1" applyBorder="1" applyAlignment="1">
      <alignment vertical="center"/>
    </xf>
    <xf numFmtId="2" fontId="12" fillId="6" borderId="16" xfId="2" applyNumberFormat="1" applyFont="1" applyFill="1" applyBorder="1" applyAlignment="1">
      <alignment horizontal="center" vertical="center"/>
    </xf>
    <xf numFmtId="164" fontId="18" fillId="0" borderId="0" xfId="2" applyFont="1" applyFill="1" applyAlignment="1">
      <alignment horizontal="center"/>
    </xf>
    <xf numFmtId="164" fontId="18" fillId="0" borderId="0" xfId="2" applyFont="1" applyFill="1"/>
    <xf numFmtId="164" fontId="18" fillId="0" borderId="0" xfId="2" applyFont="1" applyFill="1" applyAlignment="1">
      <alignment horizontal="left"/>
    </xf>
    <xf numFmtId="164" fontId="1" fillId="0" borderId="0" xfId="2" applyAlignment="1">
      <alignment horizontal="center"/>
    </xf>
    <xf numFmtId="164" fontId="12" fillId="0" borderId="24" xfId="2" applyFont="1" applyBorder="1" applyAlignment="1">
      <alignment horizontal="right" vertical="center"/>
    </xf>
    <xf numFmtId="166" fontId="12" fillId="0" borderId="25" xfId="2" applyNumberFormat="1" applyFont="1" applyBorder="1" applyAlignment="1" applyProtection="1">
      <alignment horizontal="center" vertical="center"/>
      <protection locked="0"/>
    </xf>
    <xf numFmtId="169" fontId="12" fillId="0" borderId="25" xfId="2" applyNumberFormat="1" applyFont="1" applyBorder="1" applyAlignment="1" applyProtection="1">
      <alignment horizontal="center" vertical="center"/>
      <protection locked="0"/>
    </xf>
    <xf numFmtId="166" fontId="1" fillId="0" borderId="0" xfId="2" applyNumberFormat="1" applyAlignment="1" applyProtection="1">
      <alignment horizontal="center"/>
      <protection locked="0"/>
    </xf>
    <xf numFmtId="166" fontId="1" fillId="0" borderId="0" xfId="2" applyNumberFormat="1" applyProtection="1">
      <protection locked="0"/>
    </xf>
    <xf numFmtId="20" fontId="1" fillId="0" borderId="0" xfId="2" applyNumberFormat="1"/>
    <xf numFmtId="169" fontId="12" fillId="0" borderId="26" xfId="2" applyNumberFormat="1" applyFont="1" applyBorder="1" applyAlignment="1" applyProtection="1">
      <alignment horizontal="center" vertical="center"/>
      <protection locked="0"/>
    </xf>
    <xf numFmtId="169" fontId="25" fillId="0" borderId="27" xfId="2" applyNumberFormat="1" applyFont="1" applyBorder="1" applyAlignment="1">
      <alignment horizontal="center" vertical="center"/>
    </xf>
    <xf numFmtId="2" fontId="25" fillId="0" borderId="27" xfId="2" applyNumberFormat="1" applyFont="1" applyBorder="1" applyAlignment="1">
      <alignment horizontal="center" vertical="center"/>
    </xf>
    <xf numFmtId="164" fontId="12" fillId="0" borderId="0" xfId="2" applyFont="1" applyBorder="1" applyAlignment="1">
      <alignment vertical="center"/>
    </xf>
    <xf numFmtId="164" fontId="12" fillId="0" borderId="0" xfId="2" applyNumberFormat="1" applyFont="1" applyBorder="1" applyAlignment="1">
      <alignment horizontal="center" vertical="center"/>
    </xf>
    <xf numFmtId="164" fontId="12" fillId="0" borderId="28" xfId="2" applyFont="1" applyBorder="1" applyAlignment="1">
      <alignment horizontal="right" vertical="center"/>
    </xf>
    <xf numFmtId="169" fontId="25" fillId="0" borderId="29" xfId="2" applyNumberFormat="1" applyFont="1" applyBorder="1" applyAlignment="1">
      <alignment horizontal="center" vertical="center"/>
    </xf>
    <xf numFmtId="164" fontId="26" fillId="0" borderId="28" xfId="2" applyFont="1" applyBorder="1" applyAlignment="1">
      <alignment horizontal="right" vertical="center"/>
    </xf>
    <xf numFmtId="166" fontId="12" fillId="9" borderId="6" xfId="2" applyNumberFormat="1" applyFont="1" applyFill="1" applyBorder="1" applyAlignment="1" applyProtection="1">
      <alignment horizontal="center" vertical="center"/>
      <protection locked="0"/>
    </xf>
    <xf numFmtId="164" fontId="16" fillId="0" borderId="24" xfId="2" applyFont="1" applyBorder="1" applyAlignment="1">
      <alignment horizontal="right" vertical="center"/>
    </xf>
    <xf numFmtId="166" fontId="12" fillId="10" borderId="25" xfId="2" applyNumberFormat="1" applyFont="1" applyFill="1" applyBorder="1" applyAlignment="1" applyProtection="1">
      <alignment horizontal="center" vertical="center"/>
      <protection locked="0"/>
    </xf>
    <xf numFmtId="164" fontId="16" fillId="0" borderId="30" xfId="2" applyFont="1" applyBorder="1" applyAlignment="1">
      <alignment horizontal="left" vertical="center"/>
    </xf>
    <xf numFmtId="166" fontId="16" fillId="0" borderId="31" xfId="2" applyNumberFormat="1" applyFont="1" applyBorder="1" applyAlignment="1">
      <alignment horizontal="center" vertical="center"/>
    </xf>
    <xf numFmtId="169" fontId="16" fillId="0" borderId="31" xfId="2" applyNumberFormat="1" applyFont="1" applyBorder="1" applyAlignment="1">
      <alignment horizontal="center" vertical="center"/>
    </xf>
    <xf numFmtId="164" fontId="12" fillId="0" borderId="32" xfId="2" applyFont="1" applyBorder="1" applyAlignment="1">
      <alignment horizontal="right" vertical="center"/>
    </xf>
    <xf numFmtId="166" fontId="12" fillId="11" borderId="25" xfId="2" applyNumberFormat="1" applyFont="1" applyFill="1" applyBorder="1" applyAlignment="1" applyProtection="1">
      <alignment horizontal="center" vertical="center"/>
      <protection locked="0"/>
    </xf>
    <xf numFmtId="164" fontId="12" fillId="0" borderId="33" xfId="2" applyFont="1" applyBorder="1" applyAlignment="1">
      <alignment horizontal="right" vertical="center"/>
    </xf>
    <xf numFmtId="166" fontId="12" fillId="0" borderId="6" xfId="2" applyNumberFormat="1" applyFont="1" applyBorder="1" applyAlignment="1" applyProtection="1">
      <alignment horizontal="center" vertical="center"/>
      <protection locked="0"/>
    </xf>
    <xf numFmtId="164" fontId="12" fillId="0" borderId="34" xfId="2" applyFont="1" applyBorder="1" applyAlignment="1">
      <alignment horizontal="right" vertical="center"/>
    </xf>
    <xf numFmtId="166" fontId="12" fillId="0" borderId="18" xfId="2" applyNumberFormat="1" applyFont="1" applyBorder="1" applyAlignment="1" applyProtection="1">
      <alignment horizontal="center" vertical="center"/>
      <protection locked="0"/>
    </xf>
    <xf numFmtId="169" fontId="25" fillId="0" borderId="23" xfId="2" applyNumberFormat="1" applyFont="1" applyBorder="1" applyAlignment="1">
      <alignment horizontal="center" vertical="center"/>
    </xf>
    <xf numFmtId="164" fontId="16" fillId="0" borderId="35" xfId="2" applyFont="1" applyBorder="1" applyAlignment="1">
      <alignment horizontal="left" vertical="center"/>
    </xf>
    <xf numFmtId="164" fontId="27" fillId="0" borderId="0" xfId="2" applyFont="1"/>
    <xf numFmtId="164" fontId="12" fillId="0" borderId="36" xfId="2" applyFont="1" applyBorder="1" applyAlignment="1">
      <alignment horizontal="right" vertical="center"/>
    </xf>
    <xf numFmtId="2" fontId="26" fillId="0" borderId="37" xfId="2" applyNumberFormat="1" applyFont="1" applyBorder="1" applyAlignment="1">
      <alignment horizontal="center" vertical="center"/>
    </xf>
    <xf numFmtId="169" fontId="26" fillId="0" borderId="37" xfId="2" applyNumberFormat="1" applyFont="1" applyBorder="1" applyAlignment="1">
      <alignment horizontal="center" vertical="center"/>
    </xf>
    <xf numFmtId="164" fontId="16" fillId="0" borderId="38" xfId="2" applyFont="1" applyBorder="1" applyAlignment="1">
      <alignment horizontal="left" vertical="center"/>
    </xf>
    <xf numFmtId="169" fontId="12" fillId="0" borderId="29" xfId="2" applyNumberFormat="1" applyFont="1" applyBorder="1" applyAlignment="1">
      <alignment horizontal="center" vertical="center"/>
    </xf>
    <xf numFmtId="166" fontId="12" fillId="0" borderId="25" xfId="2" applyNumberFormat="1" applyFont="1" applyBorder="1" applyAlignment="1">
      <alignment horizontal="center" vertical="center"/>
    </xf>
    <xf numFmtId="166" fontId="12" fillId="0" borderId="6" xfId="2" applyNumberFormat="1" applyFont="1" applyBorder="1" applyAlignment="1">
      <alignment horizontal="center" vertical="center"/>
    </xf>
    <xf numFmtId="164" fontId="2" fillId="12" borderId="0" xfId="2" applyFont="1" applyFill="1"/>
    <xf numFmtId="20" fontId="1" fillId="0" borderId="39" xfId="2" applyNumberFormat="1" applyBorder="1"/>
    <xf numFmtId="166" fontId="12" fillId="0" borderId="2" xfId="2" applyNumberFormat="1" applyFont="1" applyBorder="1" applyAlignment="1" applyProtection="1">
      <alignment horizontal="center" vertical="center"/>
      <protection locked="0"/>
    </xf>
    <xf numFmtId="166" fontId="12" fillId="0" borderId="4" xfId="2" applyNumberFormat="1" applyFont="1" applyBorder="1" applyAlignment="1" applyProtection="1">
      <alignment horizontal="center" vertical="center"/>
      <protection locked="0"/>
    </xf>
    <xf numFmtId="164" fontId="0" fillId="0" borderId="5" xfId="2" applyFont="1" applyBorder="1"/>
    <xf numFmtId="166" fontId="12" fillId="0" borderId="40" xfId="2" applyNumberFormat="1" applyFont="1" applyBorder="1" applyAlignment="1" applyProtection="1">
      <alignment horizontal="center" vertical="center"/>
      <protection locked="0"/>
    </xf>
    <xf numFmtId="164" fontId="12" fillId="0" borderId="41" xfId="2" applyFont="1" applyBorder="1" applyAlignment="1">
      <alignment horizontal="right" vertical="center"/>
    </xf>
    <xf numFmtId="169" fontId="12" fillId="0" borderId="42" xfId="2" applyNumberFormat="1" applyFont="1" applyBorder="1" applyAlignment="1">
      <alignment horizontal="center" vertical="center"/>
    </xf>
    <xf numFmtId="164" fontId="1" fillId="0" borderId="5" xfId="2" applyBorder="1"/>
    <xf numFmtId="166" fontId="12" fillId="12" borderId="43" xfId="2" applyNumberFormat="1" applyFont="1" applyFill="1" applyBorder="1" applyAlignment="1" applyProtection="1">
      <alignment horizontal="center" vertical="center"/>
      <protection locked="0"/>
    </xf>
    <xf numFmtId="169" fontId="16" fillId="0" borderId="44" xfId="2" applyNumberFormat="1" applyFont="1" applyBorder="1" applyAlignment="1">
      <alignment horizontal="center" vertical="center"/>
    </xf>
    <xf numFmtId="166" fontId="12" fillId="0" borderId="45" xfId="2" applyNumberFormat="1" applyFont="1" applyBorder="1" applyAlignment="1">
      <alignment horizontal="center" vertical="center"/>
    </xf>
    <xf numFmtId="169" fontId="12" fillId="0" borderId="27" xfId="2" applyNumberFormat="1" applyFont="1" applyBorder="1" applyAlignment="1">
      <alignment horizontal="center" vertical="center"/>
    </xf>
    <xf numFmtId="164" fontId="1" fillId="0" borderId="48" xfId="2" applyBorder="1"/>
    <xf numFmtId="166" fontId="12" fillId="0" borderId="8" xfId="2" applyNumberFormat="1" applyFont="1" applyBorder="1" applyAlignment="1" applyProtection="1">
      <alignment horizontal="center" vertical="center"/>
      <protection locked="0"/>
    </xf>
    <xf numFmtId="166" fontId="12" fillId="0" borderId="10" xfId="2" applyNumberFormat="1" applyFont="1" applyBorder="1" applyAlignment="1" applyProtection="1">
      <alignment horizontal="center" vertical="center"/>
      <protection locked="0"/>
    </xf>
    <xf numFmtId="166" fontId="12" fillId="0" borderId="37" xfId="2" applyNumberFormat="1" applyFont="1" applyBorder="1" applyAlignment="1">
      <alignment horizontal="center" vertical="center"/>
    </xf>
    <xf numFmtId="1" fontId="16" fillId="0" borderId="31" xfId="2" applyNumberFormat="1" applyFont="1" applyBorder="1" applyAlignment="1">
      <alignment horizontal="center" vertical="center"/>
    </xf>
    <xf numFmtId="164" fontId="16" fillId="12" borderId="38" xfId="2" applyFont="1" applyFill="1" applyBorder="1" applyAlignment="1">
      <alignment vertical="center" wrapText="1"/>
    </xf>
    <xf numFmtId="166" fontId="12" fillId="0" borderId="31" xfId="2" applyNumberFormat="1" applyFont="1" applyBorder="1" applyAlignment="1" applyProtection="1">
      <alignment horizontal="center" vertical="center"/>
      <protection locked="0"/>
    </xf>
    <xf numFmtId="169" fontId="25" fillId="0" borderId="42" xfId="2" applyNumberFormat="1" applyFont="1" applyBorder="1" applyAlignment="1">
      <alignment horizontal="center" vertical="center"/>
    </xf>
    <xf numFmtId="164" fontId="16" fillId="0" borderId="38" xfId="2" applyFont="1" applyBorder="1" applyAlignment="1">
      <alignment horizontal="center" vertical="center"/>
    </xf>
    <xf numFmtId="164" fontId="12" fillId="0" borderId="49" xfId="2" applyFont="1" applyBorder="1" applyAlignment="1">
      <alignment horizontal="right" vertical="center"/>
    </xf>
    <xf numFmtId="2" fontId="12" fillId="0" borderId="2" xfId="2" applyNumberFormat="1" applyFont="1" applyBorder="1" applyAlignment="1" applyProtection="1">
      <alignment horizontal="center" vertical="center"/>
      <protection locked="0"/>
    </xf>
    <xf numFmtId="169" fontId="12" fillId="0" borderId="50" xfId="2" applyNumberFormat="1" applyFont="1" applyBorder="1" applyAlignment="1">
      <alignment horizontal="center" vertical="center"/>
    </xf>
    <xf numFmtId="164" fontId="12" fillId="0" borderId="51" xfId="2" applyFont="1" applyBorder="1" applyAlignment="1">
      <alignment horizontal="right" vertical="center"/>
    </xf>
    <xf numFmtId="169" fontId="12" fillId="0" borderId="52" xfId="2" applyNumberFormat="1" applyFont="1" applyBorder="1" applyAlignment="1">
      <alignment horizontal="center" vertical="center"/>
    </xf>
    <xf numFmtId="164" fontId="12" fillId="0" borderId="53" xfId="2" applyFont="1" applyBorder="1" applyAlignment="1">
      <alignment horizontal="right" vertical="center"/>
    </xf>
    <xf numFmtId="166" fontId="12" fillId="0" borderId="6" xfId="2" applyNumberFormat="1" applyFont="1" applyBorder="1" applyAlignment="1" applyProtection="1">
      <alignment horizontal="center"/>
      <protection locked="0"/>
    </xf>
    <xf numFmtId="169" fontId="12" fillId="0" borderId="52" xfId="2" applyNumberFormat="1" applyFont="1" applyBorder="1" applyAlignment="1">
      <alignment horizontal="center"/>
    </xf>
    <xf numFmtId="169" fontId="12" fillId="0" borderId="54" xfId="2" applyNumberFormat="1" applyFont="1" applyBorder="1" applyAlignment="1">
      <alignment horizontal="center" vertical="center"/>
    </xf>
    <xf numFmtId="164" fontId="16" fillId="0" borderId="0" xfId="2" applyFont="1" applyBorder="1" applyAlignment="1">
      <alignment horizontal="right" vertical="center"/>
    </xf>
    <xf numFmtId="164" fontId="12" fillId="0" borderId="1" xfId="2" applyFont="1" applyBorder="1" applyAlignment="1">
      <alignment vertical="center"/>
    </xf>
    <xf numFmtId="166" fontId="16" fillId="0" borderId="3" xfId="2" applyNumberFormat="1" applyFont="1" applyBorder="1" applyAlignment="1">
      <alignment horizontal="center" vertical="center"/>
    </xf>
    <xf numFmtId="169" fontId="1" fillId="0" borderId="0" xfId="2" applyNumberFormat="1"/>
    <xf numFmtId="166" fontId="12" fillId="0" borderId="55" xfId="2" applyNumberFormat="1" applyFont="1" applyBorder="1" applyAlignment="1" applyProtection="1">
      <alignment horizontal="center" vertical="center"/>
      <protection locked="0"/>
    </xf>
    <xf numFmtId="169" fontId="1" fillId="0" borderId="6" xfId="2" applyNumberFormat="1" applyBorder="1" applyAlignment="1">
      <alignment horizontal="center"/>
    </xf>
    <xf numFmtId="166" fontId="12" fillId="0" borderId="45" xfId="2" applyNumberFormat="1" applyFont="1" applyBorder="1" applyAlignment="1" applyProtection="1">
      <alignment horizontal="center" vertical="center"/>
      <protection locked="0"/>
    </xf>
    <xf numFmtId="164" fontId="12" fillId="0" borderId="56" xfId="2" applyFont="1" applyBorder="1" applyAlignment="1">
      <alignment horizontal="right" vertical="center"/>
    </xf>
    <xf numFmtId="166" fontId="12" fillId="0" borderId="57" xfId="2" applyNumberFormat="1" applyFont="1" applyBorder="1" applyAlignment="1" applyProtection="1">
      <alignment horizontal="center"/>
      <protection locked="0"/>
    </xf>
    <xf numFmtId="169" fontId="1" fillId="0" borderId="37" xfId="2" applyNumberFormat="1" applyBorder="1" applyAlignment="1">
      <alignment horizontal="center"/>
    </xf>
    <xf numFmtId="169" fontId="1" fillId="0" borderId="0" xfId="2" applyNumberFormat="1" applyBorder="1" applyAlignment="1">
      <alignment horizontal="center"/>
    </xf>
    <xf numFmtId="164" fontId="12" fillId="0" borderId="6" xfId="2" applyFont="1" applyBorder="1" applyAlignment="1">
      <alignment horizontal="right" vertical="center"/>
    </xf>
    <xf numFmtId="164" fontId="16" fillId="0" borderId="48" xfId="2" applyFont="1" applyBorder="1" applyAlignment="1">
      <alignment vertical="center"/>
    </xf>
    <xf numFmtId="164" fontId="1" fillId="0" borderId="58" xfId="2" applyBorder="1" applyAlignment="1">
      <alignment horizontal="center"/>
    </xf>
    <xf numFmtId="169" fontId="1" fillId="0" borderId="59" xfId="2" applyNumberFormat="1" applyBorder="1" applyAlignment="1">
      <alignment horizontal="center"/>
    </xf>
    <xf numFmtId="166" fontId="1" fillId="0" borderId="0" xfId="2" applyNumberFormat="1" applyBorder="1" applyAlignment="1" applyProtection="1">
      <alignment horizontal="center"/>
      <protection locked="0"/>
    </xf>
    <xf numFmtId="164" fontId="12" fillId="0" borderId="60" xfId="2" applyFont="1" applyBorder="1" applyAlignment="1">
      <alignment horizontal="right" vertical="center"/>
    </xf>
    <xf numFmtId="2" fontId="12" fillId="0" borderId="25" xfId="2" applyNumberFormat="1" applyFont="1" applyBorder="1" applyAlignment="1">
      <alignment horizontal="center" vertical="center"/>
    </xf>
    <xf numFmtId="2" fontId="12" fillId="0" borderId="25" xfId="2" applyNumberFormat="1" applyFont="1" applyBorder="1" applyAlignment="1" applyProtection="1">
      <alignment horizontal="center" vertical="center"/>
      <protection locked="0"/>
    </xf>
    <xf numFmtId="169" fontId="25" fillId="0" borderId="61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 applyProtection="1">
      <alignment horizontal="center" vertical="center"/>
      <protection locked="0"/>
    </xf>
    <xf numFmtId="169" fontId="25" fillId="0" borderId="40" xfId="2" applyNumberFormat="1" applyFont="1" applyBorder="1" applyAlignment="1">
      <alignment horizontal="center" vertical="center"/>
    </xf>
    <xf numFmtId="169" fontId="25" fillId="0" borderId="62" xfId="2" applyNumberFormat="1" applyFont="1" applyBorder="1" applyAlignment="1">
      <alignment horizontal="center" vertical="center"/>
    </xf>
    <xf numFmtId="2" fontId="12" fillId="0" borderId="37" xfId="2" applyNumberFormat="1" applyFont="1" applyBorder="1" applyAlignment="1">
      <alignment horizontal="center" vertical="center"/>
    </xf>
    <xf numFmtId="2" fontId="12" fillId="0" borderId="18" xfId="2" applyNumberFormat="1" applyFont="1" applyBorder="1" applyAlignment="1" applyProtection="1">
      <alignment horizontal="center" vertical="center"/>
      <protection locked="0"/>
    </xf>
    <xf numFmtId="164" fontId="12" fillId="0" borderId="35" xfId="2" applyFont="1" applyBorder="1" applyAlignment="1">
      <alignment vertical="center"/>
    </xf>
    <xf numFmtId="2" fontId="12" fillId="0" borderId="63" xfId="2" applyNumberFormat="1" applyFont="1" applyBorder="1" applyAlignment="1">
      <alignment horizontal="center" vertical="center"/>
    </xf>
    <xf numFmtId="2" fontId="12" fillId="0" borderId="31" xfId="2" applyNumberFormat="1" applyFont="1" applyBorder="1" applyAlignment="1">
      <alignment horizontal="center" vertical="center"/>
    </xf>
    <xf numFmtId="2" fontId="12" fillId="0" borderId="64" xfId="2" applyNumberFormat="1" applyFont="1" applyBorder="1" applyAlignment="1">
      <alignment horizontal="center" vertical="center"/>
    </xf>
    <xf numFmtId="169" fontId="25" fillId="0" borderId="35" xfId="2" applyNumberFormat="1" applyFont="1" applyBorder="1" applyAlignment="1">
      <alignment horizontal="center" vertical="center"/>
    </xf>
    <xf numFmtId="2" fontId="1" fillId="0" borderId="0" xfId="2" applyNumberFormat="1" applyAlignment="1">
      <alignment horizontal="center"/>
    </xf>
    <xf numFmtId="169" fontId="1" fillId="0" borderId="0" xfId="2" applyNumberFormat="1" applyAlignment="1">
      <alignment horizontal="center"/>
    </xf>
    <xf numFmtId="2" fontId="12" fillId="0" borderId="2" xfId="2" applyNumberFormat="1" applyFont="1" applyBorder="1" applyAlignment="1">
      <alignment horizontal="center" vertical="center"/>
    </xf>
    <xf numFmtId="169" fontId="28" fillId="0" borderId="4" xfId="2" applyNumberFormat="1" applyFont="1" applyBorder="1" applyAlignment="1">
      <alignment horizontal="center" vertical="center"/>
    </xf>
    <xf numFmtId="169" fontId="28" fillId="0" borderId="40" xfId="2" applyNumberFormat="1" applyFont="1" applyBorder="1" applyAlignment="1">
      <alignment horizontal="center" vertical="center"/>
    </xf>
    <xf numFmtId="169" fontId="28" fillId="0" borderId="62" xfId="2" applyNumberFormat="1" applyFont="1" applyBorder="1" applyAlignment="1">
      <alignment horizontal="center" vertical="center"/>
    </xf>
    <xf numFmtId="164" fontId="12" fillId="0" borderId="63" xfId="2" applyFont="1" applyBorder="1" applyAlignment="1">
      <alignment horizontal="right" vertical="center"/>
    </xf>
    <xf numFmtId="169" fontId="1" fillId="0" borderId="65" xfId="2" applyNumberFormat="1" applyBorder="1" applyAlignment="1">
      <alignment horizontal="center"/>
    </xf>
    <xf numFmtId="164" fontId="16" fillId="0" borderId="49" xfId="2" applyFont="1" applyBorder="1" applyAlignment="1">
      <alignment vertical="center"/>
    </xf>
    <xf numFmtId="2" fontId="29" fillId="0" borderId="2" xfId="2" applyNumberFormat="1" applyFont="1" applyBorder="1" applyAlignment="1">
      <alignment horizontal="center" vertical="center"/>
    </xf>
    <xf numFmtId="2" fontId="29" fillId="0" borderId="4" xfId="2" applyNumberFormat="1" applyFont="1" applyBorder="1" applyAlignment="1">
      <alignment horizontal="center" vertical="center"/>
    </xf>
    <xf numFmtId="164" fontId="16" fillId="0" borderId="60" xfId="2" applyFont="1" applyBorder="1" applyAlignment="1">
      <alignment vertical="center"/>
    </xf>
    <xf numFmtId="2" fontId="29" fillId="0" borderId="25" xfId="2" applyNumberFormat="1" applyFont="1" applyBorder="1" applyAlignment="1">
      <alignment horizontal="center" vertical="center"/>
    </xf>
    <xf numFmtId="2" fontId="29" fillId="0" borderId="61" xfId="2" applyNumberFormat="1" applyFont="1" applyBorder="1" applyAlignment="1">
      <alignment horizontal="center" vertical="center"/>
    </xf>
    <xf numFmtId="164" fontId="1" fillId="0" borderId="66" xfId="2" applyBorder="1" applyAlignment="1">
      <alignment horizontal="center"/>
    </xf>
    <xf numFmtId="164" fontId="16" fillId="0" borderId="51" xfId="2" applyFont="1" applyBorder="1" applyAlignment="1">
      <alignment vertical="center"/>
    </xf>
    <xf numFmtId="2" fontId="29" fillId="0" borderId="6" xfId="2" applyNumberFormat="1" applyFont="1" applyBorder="1" applyAlignment="1">
      <alignment horizontal="center" vertical="center"/>
    </xf>
    <xf numFmtId="2" fontId="29" fillId="0" borderId="40" xfId="2" applyNumberFormat="1" applyFont="1" applyBorder="1" applyAlignment="1">
      <alignment horizontal="center" vertical="center"/>
    </xf>
    <xf numFmtId="164" fontId="16" fillId="0" borderId="67" xfId="2" applyFont="1" applyBorder="1" applyAlignment="1">
      <alignment vertical="center"/>
    </xf>
    <xf numFmtId="2" fontId="29" fillId="0" borderId="8" xfId="2" applyNumberFormat="1" applyFont="1" applyBorder="1" applyAlignment="1">
      <alignment horizontal="center" vertical="center"/>
    </xf>
    <xf numFmtId="2" fontId="29" fillId="0" borderId="10" xfId="2" applyNumberFormat="1" applyFont="1" applyBorder="1" applyAlignment="1">
      <alignment horizontal="center" vertical="center"/>
    </xf>
    <xf numFmtId="164" fontId="12" fillId="13" borderId="6" xfId="2" applyFont="1" applyFill="1" applyBorder="1" applyAlignment="1">
      <alignment vertical="center"/>
    </xf>
    <xf numFmtId="1" fontId="1" fillId="13" borderId="6" xfId="2" applyNumberFormat="1" applyFill="1" applyBorder="1"/>
    <xf numFmtId="20" fontId="30" fillId="13" borderId="6" xfId="2" applyNumberFormat="1" applyFont="1" applyFill="1" applyBorder="1" applyAlignment="1">
      <alignment horizontal="center"/>
    </xf>
    <xf numFmtId="164" fontId="1" fillId="0" borderId="0" xfId="2" applyAlignment="1">
      <alignment horizontal="left"/>
    </xf>
    <xf numFmtId="164" fontId="31" fillId="15" borderId="0" xfId="2" applyFont="1" applyFill="1"/>
    <xf numFmtId="164" fontId="1" fillId="16" borderId="0" xfId="2" applyFill="1" applyProtection="1">
      <protection locked="0"/>
    </xf>
    <xf numFmtId="164" fontId="1" fillId="0" borderId="0" xfId="2" applyAlignment="1"/>
    <xf numFmtId="164" fontId="16" fillId="0" borderId="0" xfId="2" applyFont="1" applyBorder="1" applyAlignment="1">
      <alignment vertical="top" wrapText="1"/>
    </xf>
    <xf numFmtId="20" fontId="12" fillId="0" borderId="37" xfId="2" applyNumberFormat="1" applyFont="1" applyBorder="1" applyAlignment="1">
      <alignment vertical="center"/>
    </xf>
    <xf numFmtId="167" fontId="12" fillId="0" borderId="68" xfId="2" applyNumberFormat="1" applyFont="1" applyBorder="1" applyAlignment="1">
      <alignment vertical="center"/>
    </xf>
    <xf numFmtId="167" fontId="12" fillId="0" borderId="37" xfId="2" applyNumberFormat="1" applyFont="1" applyBorder="1" applyAlignment="1">
      <alignment vertical="center"/>
    </xf>
    <xf numFmtId="167" fontId="12" fillId="0" borderId="19" xfId="2" applyNumberFormat="1" applyFont="1" applyBorder="1" applyAlignment="1">
      <alignment vertical="center"/>
    </xf>
    <xf numFmtId="1" fontId="1" fillId="0" borderId="0" xfId="2" applyNumberFormat="1" applyAlignment="1">
      <alignment horizontal="center"/>
    </xf>
    <xf numFmtId="165" fontId="1" fillId="16" borderId="0" xfId="2" applyNumberFormat="1" applyFill="1" applyProtection="1">
      <protection locked="0"/>
    </xf>
    <xf numFmtId="164" fontId="1" fillId="0" borderId="6" xfId="2" applyBorder="1"/>
    <xf numFmtId="166" fontId="1" fillId="0" borderId="6" xfId="2" applyNumberFormat="1" applyBorder="1" applyAlignment="1">
      <alignment horizontal="center"/>
    </xf>
    <xf numFmtId="2" fontId="1" fillId="0" borderId="6" xfId="2" applyNumberFormat="1" applyBorder="1" applyAlignment="1">
      <alignment horizontal="center"/>
    </xf>
    <xf numFmtId="164" fontId="0" fillId="0" borderId="58" xfId="2" applyFont="1" applyBorder="1" applyAlignment="1">
      <alignment horizontal="center"/>
    </xf>
    <xf numFmtId="164" fontId="36" fillId="0" borderId="0" xfId="2" applyFont="1" applyAlignment="1">
      <alignment vertical="center"/>
    </xf>
    <xf numFmtId="166" fontId="2" fillId="5" borderId="0" xfId="2" applyNumberFormat="1" applyFont="1" applyFill="1"/>
    <xf numFmtId="166" fontId="16" fillId="0" borderId="25" xfId="2" applyNumberFormat="1" applyFont="1" applyBorder="1" applyAlignment="1" applyProtection="1">
      <alignment horizontal="center" vertical="center"/>
      <protection locked="0"/>
    </xf>
    <xf numFmtId="166" fontId="16" fillId="9" borderId="6" xfId="2" applyNumberFormat="1" applyFont="1" applyFill="1" applyBorder="1" applyAlignment="1" applyProtection="1">
      <alignment horizontal="center" vertical="center"/>
      <protection locked="0"/>
    </xf>
    <xf numFmtId="166" fontId="16" fillId="0" borderId="6" xfId="2" applyNumberFormat="1" applyFont="1" applyBorder="1" applyAlignment="1" applyProtection="1">
      <alignment horizontal="center" vertical="center"/>
      <protection locked="0"/>
    </xf>
    <xf numFmtId="166" fontId="16" fillId="0" borderId="18" xfId="2" applyNumberFormat="1" applyFont="1" applyBorder="1" applyAlignment="1" applyProtection="1">
      <alignment horizontal="center" vertical="center"/>
      <protection locked="0"/>
    </xf>
    <xf numFmtId="2" fontId="38" fillId="0" borderId="37" xfId="2" applyNumberFormat="1" applyFont="1" applyBorder="1" applyAlignment="1">
      <alignment horizontal="center" vertical="center"/>
    </xf>
    <xf numFmtId="166" fontId="16" fillId="0" borderId="25" xfId="2" applyNumberFormat="1" applyFont="1" applyBorder="1" applyAlignment="1">
      <alignment horizontal="center" vertical="center"/>
    </xf>
    <xf numFmtId="166" fontId="16" fillId="0" borderId="6" xfId="2" applyNumberFormat="1" applyFont="1" applyBorder="1" applyAlignment="1">
      <alignment horizontal="center" vertical="center"/>
    </xf>
    <xf numFmtId="166" fontId="16" fillId="0" borderId="37" xfId="2" applyNumberFormat="1" applyFont="1" applyBorder="1" applyAlignment="1">
      <alignment horizontal="center" vertical="center"/>
    </xf>
    <xf numFmtId="166" fontId="16" fillId="0" borderId="31" xfId="2" applyNumberFormat="1" applyFont="1" applyBorder="1" applyAlignment="1" applyProtection="1">
      <alignment horizontal="center" vertical="center"/>
      <protection locked="0"/>
    </xf>
    <xf numFmtId="2" fontId="16" fillId="0" borderId="2" xfId="2" applyNumberFormat="1" applyFont="1" applyBorder="1" applyAlignment="1" applyProtection="1">
      <alignment horizontal="center" vertical="center"/>
      <protection locked="0"/>
    </xf>
    <xf numFmtId="166" fontId="16" fillId="0" borderId="6" xfId="2" applyNumberFormat="1" applyFont="1" applyBorder="1" applyAlignment="1" applyProtection="1">
      <alignment horizontal="center"/>
      <protection locked="0"/>
    </xf>
    <xf numFmtId="166" fontId="16" fillId="0" borderId="8" xfId="2" applyNumberFormat="1" applyFont="1" applyBorder="1" applyAlignment="1" applyProtection="1">
      <alignment horizontal="center" vertical="center"/>
      <protection locked="0"/>
    </xf>
    <xf numFmtId="166" fontId="16" fillId="0" borderId="55" xfId="2" applyNumberFormat="1" applyFont="1" applyBorder="1" applyAlignment="1" applyProtection="1">
      <alignment horizontal="center" vertical="center"/>
      <protection locked="0"/>
    </xf>
    <xf numFmtId="166" fontId="16" fillId="0" borderId="45" xfId="2" applyNumberFormat="1" applyFont="1" applyBorder="1" applyAlignment="1" applyProtection="1">
      <alignment horizontal="center" vertical="center"/>
      <protection locked="0"/>
    </xf>
    <xf numFmtId="166" fontId="16" fillId="0" borderId="57" xfId="2" applyNumberFormat="1" applyFont="1" applyBorder="1" applyAlignment="1" applyProtection="1">
      <alignment horizontal="center"/>
      <protection locked="0"/>
    </xf>
    <xf numFmtId="164" fontId="2" fillId="0" borderId="58" xfId="2" applyFont="1" applyBorder="1" applyAlignment="1">
      <alignment horizontal="center"/>
    </xf>
    <xf numFmtId="2" fontId="16" fillId="0" borderId="25" xfId="2" applyNumberFormat="1" applyFont="1" applyBorder="1" applyAlignment="1">
      <alignment horizontal="center" vertical="center"/>
    </xf>
    <xf numFmtId="2" fontId="16" fillId="0" borderId="6" xfId="2" applyNumberFormat="1" applyFont="1" applyBorder="1" applyAlignment="1">
      <alignment horizontal="center" vertical="center"/>
    </xf>
    <xf numFmtId="2" fontId="16" fillId="0" borderId="37" xfId="2" applyNumberFormat="1" applyFont="1" applyBorder="1" applyAlignment="1">
      <alignment horizontal="center" vertical="center"/>
    </xf>
    <xf numFmtId="2" fontId="16" fillId="0" borderId="31" xfId="2" applyNumberFormat="1" applyFont="1" applyBorder="1" applyAlignment="1">
      <alignment horizontal="center" vertical="center"/>
    </xf>
    <xf numFmtId="2" fontId="2" fillId="0" borderId="0" xfId="2" applyNumberFormat="1" applyFont="1" applyAlignment="1">
      <alignment horizontal="center"/>
    </xf>
    <xf numFmtId="2" fontId="16" fillId="0" borderId="2" xfId="2" applyNumberFormat="1" applyFont="1" applyBorder="1" applyAlignment="1">
      <alignment horizontal="center" vertical="center"/>
    </xf>
    <xf numFmtId="164" fontId="2" fillId="0" borderId="0" xfId="2" applyFont="1" applyAlignment="1">
      <alignment horizontal="center"/>
    </xf>
    <xf numFmtId="2" fontId="39" fillId="0" borderId="2" xfId="2" applyNumberFormat="1" applyFont="1" applyBorder="1" applyAlignment="1">
      <alignment horizontal="center" vertical="center"/>
    </xf>
    <xf numFmtId="2" fontId="39" fillId="0" borderId="25" xfId="2" applyNumberFormat="1" applyFont="1" applyBorder="1" applyAlignment="1">
      <alignment horizontal="center" vertical="center"/>
    </xf>
    <xf numFmtId="2" fontId="39" fillId="0" borderId="6" xfId="2" applyNumberFormat="1" applyFont="1" applyBorder="1" applyAlignment="1">
      <alignment horizontal="center" vertical="center"/>
    </xf>
    <xf numFmtId="2" fontId="39" fillId="0" borderId="8" xfId="2" applyNumberFormat="1" applyFont="1" applyBorder="1" applyAlignment="1">
      <alignment horizontal="center" vertical="center"/>
    </xf>
    <xf numFmtId="167" fontId="16" fillId="0" borderId="37" xfId="2" applyNumberFormat="1" applyFont="1" applyBorder="1" applyAlignment="1">
      <alignment vertical="center"/>
    </xf>
    <xf numFmtId="1" fontId="2" fillId="0" borderId="0" xfId="2" applyNumberFormat="1" applyFont="1" applyAlignment="1">
      <alignment horizontal="center"/>
    </xf>
    <xf numFmtId="166" fontId="2" fillId="0" borderId="6" xfId="2" applyNumberFormat="1" applyFont="1" applyBorder="1" applyAlignment="1">
      <alignment horizontal="center"/>
    </xf>
    <xf numFmtId="2" fontId="2" fillId="0" borderId="6" xfId="2" applyNumberFormat="1" applyFont="1" applyBorder="1" applyAlignment="1">
      <alignment horizontal="center"/>
    </xf>
    <xf numFmtId="164" fontId="2" fillId="0" borderId="0" xfId="2" applyFont="1"/>
    <xf numFmtId="166" fontId="26" fillId="0" borderId="6" xfId="2" applyNumberFormat="1" applyFont="1" applyBorder="1" applyAlignment="1">
      <alignment horizontal="center" vertical="center"/>
    </xf>
    <xf numFmtId="166" fontId="16" fillId="12" borderId="46" xfId="2" applyNumberFormat="1" applyFont="1" applyFill="1" applyBorder="1" applyAlignment="1">
      <alignment horizontal="center" vertical="center"/>
    </xf>
    <xf numFmtId="166" fontId="16" fillId="12" borderId="47" xfId="2" applyNumberFormat="1" applyFont="1" applyFill="1" applyBorder="1" applyAlignment="1">
      <alignment horizontal="center" vertical="center"/>
    </xf>
    <xf numFmtId="164" fontId="31" fillId="14" borderId="0" xfId="2" applyFont="1" applyFill="1" applyAlignment="1">
      <alignment horizontal="center"/>
    </xf>
    <xf numFmtId="167" fontId="12" fillId="0" borderId="19" xfId="2" applyNumberFormat="1" applyFont="1" applyBorder="1" applyAlignment="1">
      <alignment horizontal="center" vertical="center"/>
    </xf>
    <xf numFmtId="167" fontId="12" fillId="0" borderId="22" xfId="2" applyNumberFormat="1" applyFont="1" applyBorder="1" applyAlignment="1">
      <alignment horizontal="center" vertical="center"/>
    </xf>
    <xf numFmtId="168" fontId="24" fillId="8" borderId="20" xfId="2" applyNumberFormat="1" applyFont="1" applyFill="1" applyBorder="1" applyAlignment="1">
      <alignment horizontal="center" vertical="center" wrapText="1"/>
    </xf>
    <xf numFmtId="168" fontId="24" fillId="8" borderId="23" xfId="2" applyNumberFormat="1" applyFont="1" applyFill="1" applyBorder="1" applyAlignment="1">
      <alignment horizontal="center" vertical="center" wrapText="1"/>
    </xf>
    <xf numFmtId="167" fontId="12" fillId="7" borderId="19" xfId="2" applyNumberFormat="1" applyFont="1" applyFill="1" applyBorder="1" applyAlignment="1">
      <alignment horizontal="center" vertical="center"/>
    </xf>
    <xf numFmtId="167" fontId="12" fillId="7" borderId="22" xfId="2" applyNumberFormat="1" applyFont="1" applyFill="1" applyBorder="1" applyAlignment="1">
      <alignment horizontal="center" vertical="center"/>
    </xf>
    <xf numFmtId="167" fontId="12" fillId="0" borderId="18" xfId="2" applyNumberFormat="1" applyFont="1" applyBorder="1" applyAlignment="1">
      <alignment horizontal="center" vertical="center"/>
    </xf>
    <xf numFmtId="2" fontId="23" fillId="0" borderId="13" xfId="2" applyNumberFormat="1" applyFont="1" applyBorder="1" applyAlignment="1">
      <alignment horizontal="center" vertical="center"/>
    </xf>
    <xf numFmtId="2" fontId="23" fillId="0" borderId="14" xfId="2" applyNumberFormat="1" applyFont="1" applyBorder="1" applyAlignment="1">
      <alignment horizontal="center" vertical="center"/>
    </xf>
    <xf numFmtId="2" fontId="23" fillId="0" borderId="15" xfId="2" applyNumberFormat="1" applyFont="1" applyBorder="1" applyAlignment="1">
      <alignment horizontal="center" vertical="center"/>
    </xf>
    <xf numFmtId="164" fontId="16" fillId="0" borderId="17" xfId="2" applyFont="1" applyBorder="1" applyAlignment="1">
      <alignment horizontal="left" vertical="top" wrapText="1"/>
    </xf>
    <xf numFmtId="164" fontId="16" fillId="0" borderId="21" xfId="2" applyFont="1" applyBorder="1" applyAlignment="1">
      <alignment horizontal="left" vertical="top" wrapText="1"/>
    </xf>
    <xf numFmtId="164" fontId="15" fillId="4" borderId="11" xfId="2" applyFont="1" applyFill="1" applyBorder="1" applyAlignment="1">
      <alignment horizontal="left" vertical="center"/>
    </xf>
    <xf numFmtId="164" fontId="15" fillId="4" borderId="11" xfId="2" applyNumberFormat="1" applyFont="1" applyFill="1" applyBorder="1" applyAlignment="1">
      <alignment horizontal="center" vertical="center"/>
    </xf>
    <xf numFmtId="2" fontId="22" fillId="0" borderId="13" xfId="2" applyNumberFormat="1" applyFont="1" applyBorder="1" applyAlignment="1">
      <alignment horizontal="center" vertical="center"/>
    </xf>
    <xf numFmtId="2" fontId="22" fillId="0" borderId="14" xfId="2" applyNumberFormat="1" applyFont="1" applyBorder="1" applyAlignment="1">
      <alignment horizontal="center" vertical="center"/>
    </xf>
    <xf numFmtId="2" fontId="22" fillId="0" borderId="15" xfId="2" applyNumberFormat="1" applyFont="1" applyBorder="1" applyAlignment="1">
      <alignment horizontal="center" vertical="center"/>
    </xf>
    <xf numFmtId="164" fontId="4" fillId="0" borderId="0" xfId="2" applyFont="1" applyAlignment="1">
      <alignment horizontal="center" vertical="center" wrapText="1"/>
    </xf>
    <xf numFmtId="164" fontId="5" fillId="2" borderId="0" xfId="2" applyFont="1" applyFill="1" applyAlignment="1">
      <alignment horizontal="center" vertical="center"/>
    </xf>
    <xf numFmtId="164" fontId="4" fillId="0" borderId="1" xfId="2" applyFont="1" applyBorder="1" applyAlignment="1">
      <alignment horizontal="center" vertical="center"/>
    </xf>
    <xf numFmtId="164" fontId="4" fillId="0" borderId="7" xfId="2" applyFont="1" applyBorder="1" applyAlignment="1">
      <alignment horizontal="center" vertical="center"/>
    </xf>
    <xf numFmtId="164" fontId="4" fillId="0" borderId="3" xfId="2" applyFont="1" applyBorder="1" applyAlignment="1">
      <alignment horizontal="center" vertical="center"/>
    </xf>
    <xf numFmtId="164" fontId="4" fillId="0" borderId="9" xfId="2" applyFont="1" applyBorder="1" applyAlignment="1">
      <alignment horizontal="center" vertical="center"/>
    </xf>
    <xf numFmtId="164" fontId="1" fillId="0" borderId="5" xfId="2" applyBorder="1" applyAlignment="1">
      <alignment horizontal="center" textRotation="90"/>
    </xf>
    <xf numFmtId="167" fontId="16" fillId="0" borderId="19" xfId="2" applyNumberFormat="1" applyFont="1" applyBorder="1" applyAlignment="1">
      <alignment horizontal="center" vertical="center"/>
    </xf>
    <xf numFmtId="167" fontId="16" fillId="0" borderId="22" xfId="2" applyNumberFormat="1" applyFont="1" applyBorder="1" applyAlignment="1">
      <alignment horizontal="center" vertical="center"/>
    </xf>
  </cellXfs>
  <cellStyles count="14">
    <cellStyle name="Comma" xfId="1" builtinId="3"/>
    <cellStyle name="Normal" xfId="0" builtinId="0"/>
    <cellStyle name="Normal 2" xfId="2"/>
    <cellStyle name="Normal 2 2" xfId="3"/>
    <cellStyle name="Normal 2 2 2" xfId="4"/>
    <cellStyle name="Normal 2 2 3" xfId="5"/>
    <cellStyle name="Normal 2 2_14" xfId="6"/>
    <cellStyle name="Normal 2 3" xfId="7"/>
    <cellStyle name="Normal 2 3 2" xfId="8"/>
    <cellStyle name="Normal 2 3 3" xfId="9"/>
    <cellStyle name="Normal 2 3_14" xfId="10"/>
    <cellStyle name="Normal 2 4" xfId="11"/>
    <cellStyle name="Normal 2 5" xfId="12"/>
    <cellStyle name="Normal 2_14" xfId="13"/>
  </cellStyles>
  <dxfs count="9891"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344192"/>
        <c:axId val="148395904"/>
      </c:lineChart>
      <c:catAx>
        <c:axId val="1463441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95904"/>
        <c:crosses val="autoZero"/>
        <c:auto val="1"/>
        <c:lblAlgn val="ctr"/>
        <c:lblOffset val="100"/>
        <c:noMultiLvlLbl val="0"/>
      </c:catAx>
      <c:valAx>
        <c:axId val="1483959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4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303104"/>
        <c:axId val="600305024"/>
      </c:lineChart>
      <c:catAx>
        <c:axId val="600303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305024"/>
        <c:crosses val="autoZero"/>
        <c:auto val="1"/>
        <c:lblAlgn val="ctr"/>
        <c:lblOffset val="100"/>
        <c:noMultiLvlLbl val="0"/>
      </c:catAx>
      <c:valAx>
        <c:axId val="6003050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30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7670144"/>
        <c:axId val="637692160"/>
      </c:lineChart>
      <c:catAx>
        <c:axId val="637670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92160"/>
        <c:crosses val="autoZero"/>
        <c:auto val="1"/>
        <c:lblAlgn val="ctr"/>
        <c:lblOffset val="100"/>
        <c:noMultiLvlLbl val="0"/>
      </c:catAx>
      <c:valAx>
        <c:axId val="6376921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7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056640"/>
        <c:axId val="653345536"/>
      </c:lineChart>
      <c:catAx>
        <c:axId val="6530566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345536"/>
        <c:crosses val="autoZero"/>
        <c:auto val="1"/>
        <c:lblAlgn val="ctr"/>
        <c:lblOffset val="100"/>
        <c:noMultiLvlLbl val="0"/>
      </c:catAx>
      <c:valAx>
        <c:axId val="6533455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5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698176"/>
        <c:axId val="653700096"/>
      </c:lineChart>
      <c:catAx>
        <c:axId val="6536981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700096"/>
        <c:crosses val="autoZero"/>
        <c:auto val="1"/>
        <c:lblAlgn val="ctr"/>
        <c:lblOffset val="100"/>
        <c:noMultiLvlLbl val="0"/>
      </c:catAx>
      <c:valAx>
        <c:axId val="6537000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69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4824192"/>
        <c:axId val="654826112"/>
      </c:lineChart>
      <c:catAx>
        <c:axId val="6548241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826112"/>
        <c:crosses val="autoZero"/>
        <c:auto val="1"/>
        <c:lblAlgn val="ctr"/>
        <c:lblOffset val="100"/>
        <c:noMultiLvlLbl val="0"/>
      </c:catAx>
      <c:valAx>
        <c:axId val="6548261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82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155200"/>
        <c:axId val="655157120"/>
      </c:lineChart>
      <c:catAx>
        <c:axId val="655155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157120"/>
        <c:crosses val="autoZero"/>
        <c:auto val="1"/>
        <c:lblAlgn val="ctr"/>
        <c:lblOffset val="100"/>
        <c:noMultiLvlLbl val="0"/>
      </c:catAx>
      <c:valAx>
        <c:axId val="6551571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15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340288"/>
        <c:axId val="655342208"/>
      </c:lineChart>
      <c:catAx>
        <c:axId val="655340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342208"/>
        <c:crosses val="autoZero"/>
        <c:auto val="1"/>
        <c:lblAlgn val="ctr"/>
        <c:lblOffset val="100"/>
        <c:noMultiLvlLbl val="0"/>
      </c:catAx>
      <c:valAx>
        <c:axId val="65534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34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6651392"/>
        <c:axId val="656653312"/>
      </c:lineChart>
      <c:catAx>
        <c:axId val="6566513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653312"/>
        <c:crosses val="autoZero"/>
        <c:auto val="1"/>
        <c:lblAlgn val="ctr"/>
        <c:lblOffset val="100"/>
        <c:noMultiLvlLbl val="0"/>
      </c:catAx>
      <c:valAx>
        <c:axId val="656653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65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7277696"/>
        <c:axId val="657279616"/>
      </c:lineChart>
      <c:catAx>
        <c:axId val="6572776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279616"/>
        <c:crosses val="autoZero"/>
        <c:auto val="1"/>
        <c:lblAlgn val="ctr"/>
        <c:lblOffset val="100"/>
        <c:noMultiLvlLbl val="0"/>
      </c:catAx>
      <c:valAx>
        <c:axId val="6572796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27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7931648"/>
        <c:axId val="657942016"/>
      </c:lineChart>
      <c:catAx>
        <c:axId val="6579316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42016"/>
        <c:crosses val="autoZero"/>
        <c:auto val="1"/>
        <c:lblAlgn val="ctr"/>
        <c:lblOffset val="100"/>
        <c:noMultiLvlLbl val="0"/>
      </c:catAx>
      <c:valAx>
        <c:axId val="6579420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3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805120"/>
        <c:axId val="658807040"/>
      </c:lineChart>
      <c:catAx>
        <c:axId val="6588051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807040"/>
        <c:crosses val="autoZero"/>
        <c:auto val="1"/>
        <c:lblAlgn val="ctr"/>
        <c:lblOffset val="100"/>
        <c:noMultiLvlLbl val="0"/>
      </c:catAx>
      <c:valAx>
        <c:axId val="6588070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80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9935232"/>
        <c:axId val="659937152"/>
      </c:lineChart>
      <c:catAx>
        <c:axId val="6599352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937152"/>
        <c:crosses val="autoZero"/>
        <c:auto val="1"/>
        <c:lblAlgn val="ctr"/>
        <c:lblOffset val="100"/>
        <c:noMultiLvlLbl val="0"/>
      </c:catAx>
      <c:valAx>
        <c:axId val="6599371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93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0109952"/>
        <c:axId val="649074176"/>
      </c:lineChart>
      <c:catAx>
        <c:axId val="6401099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074176"/>
        <c:crosses val="autoZero"/>
        <c:auto val="1"/>
        <c:lblAlgn val="ctr"/>
        <c:lblOffset val="100"/>
        <c:noMultiLvlLbl val="0"/>
      </c:catAx>
      <c:valAx>
        <c:axId val="649074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10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0830848"/>
        <c:axId val="660837120"/>
      </c:lineChart>
      <c:catAx>
        <c:axId val="660830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837120"/>
        <c:crosses val="autoZero"/>
        <c:auto val="1"/>
        <c:lblAlgn val="ctr"/>
        <c:lblOffset val="100"/>
        <c:noMultiLvlLbl val="0"/>
      </c:catAx>
      <c:valAx>
        <c:axId val="6608371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83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1642240"/>
        <c:axId val="661652608"/>
      </c:lineChart>
      <c:catAx>
        <c:axId val="6616422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652608"/>
        <c:crosses val="autoZero"/>
        <c:auto val="1"/>
        <c:lblAlgn val="ctr"/>
        <c:lblOffset val="100"/>
        <c:noMultiLvlLbl val="0"/>
      </c:catAx>
      <c:valAx>
        <c:axId val="6616526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64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1102976"/>
        <c:axId val="661104896"/>
      </c:lineChart>
      <c:catAx>
        <c:axId val="6611029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104896"/>
        <c:crosses val="autoZero"/>
        <c:auto val="1"/>
        <c:lblAlgn val="ctr"/>
        <c:lblOffset val="100"/>
        <c:noMultiLvlLbl val="0"/>
      </c:catAx>
      <c:valAx>
        <c:axId val="6611048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10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3023616"/>
        <c:axId val="663025536"/>
      </c:lineChart>
      <c:catAx>
        <c:axId val="6630236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025536"/>
        <c:crosses val="autoZero"/>
        <c:auto val="1"/>
        <c:lblAlgn val="ctr"/>
        <c:lblOffset val="100"/>
        <c:noMultiLvlLbl val="0"/>
      </c:catAx>
      <c:valAx>
        <c:axId val="6630255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02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7357440"/>
        <c:axId val="657363712"/>
      </c:lineChart>
      <c:catAx>
        <c:axId val="6573574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363712"/>
        <c:crosses val="autoZero"/>
        <c:auto val="1"/>
        <c:lblAlgn val="ctr"/>
        <c:lblOffset val="100"/>
        <c:noMultiLvlLbl val="0"/>
      </c:catAx>
      <c:valAx>
        <c:axId val="6573637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35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4332544"/>
        <c:axId val="664338816"/>
      </c:lineChart>
      <c:catAx>
        <c:axId val="6643325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38816"/>
        <c:crosses val="autoZero"/>
        <c:auto val="1"/>
        <c:lblAlgn val="ctr"/>
        <c:lblOffset val="100"/>
        <c:noMultiLvlLbl val="0"/>
      </c:catAx>
      <c:valAx>
        <c:axId val="6643388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3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5007616"/>
        <c:axId val="665009536"/>
      </c:lineChart>
      <c:catAx>
        <c:axId val="6650076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009536"/>
        <c:crosses val="autoZero"/>
        <c:auto val="1"/>
        <c:lblAlgn val="ctr"/>
        <c:lblOffset val="100"/>
        <c:noMultiLvlLbl val="0"/>
      </c:catAx>
      <c:valAx>
        <c:axId val="6650095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00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5695360"/>
        <c:axId val="665697280"/>
      </c:lineChart>
      <c:catAx>
        <c:axId val="6656953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697280"/>
        <c:crosses val="autoZero"/>
        <c:auto val="1"/>
        <c:lblAlgn val="ctr"/>
        <c:lblOffset val="100"/>
        <c:noMultiLvlLbl val="0"/>
      </c:catAx>
      <c:valAx>
        <c:axId val="6656972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69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485504"/>
        <c:axId val="666487424"/>
      </c:lineChart>
      <c:catAx>
        <c:axId val="6664855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87424"/>
        <c:crosses val="autoZero"/>
        <c:auto val="1"/>
        <c:lblAlgn val="ctr"/>
        <c:lblOffset val="100"/>
        <c:noMultiLvlLbl val="0"/>
      </c:catAx>
      <c:valAx>
        <c:axId val="6664874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8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7073152"/>
        <c:axId val="666510080"/>
      </c:lineChart>
      <c:catAx>
        <c:axId val="6670731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510080"/>
        <c:crosses val="autoZero"/>
        <c:auto val="1"/>
        <c:lblAlgn val="ctr"/>
        <c:lblOffset val="100"/>
        <c:noMultiLvlLbl val="0"/>
      </c:catAx>
      <c:valAx>
        <c:axId val="6665100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07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7183744"/>
        <c:axId val="667185920"/>
      </c:lineChart>
      <c:catAx>
        <c:axId val="6671837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185920"/>
        <c:crosses val="autoZero"/>
        <c:auto val="1"/>
        <c:lblAlgn val="ctr"/>
        <c:lblOffset val="100"/>
        <c:noMultiLvlLbl val="0"/>
      </c:catAx>
      <c:valAx>
        <c:axId val="6671859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18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534272"/>
        <c:axId val="668536192"/>
      </c:lineChart>
      <c:catAx>
        <c:axId val="6685342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536192"/>
        <c:crosses val="autoZero"/>
        <c:auto val="1"/>
        <c:lblAlgn val="ctr"/>
        <c:lblOffset val="100"/>
        <c:noMultiLvlLbl val="0"/>
      </c:catAx>
      <c:valAx>
        <c:axId val="6685361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53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9158784"/>
        <c:axId val="669185536"/>
      </c:lineChart>
      <c:catAx>
        <c:axId val="6691587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85536"/>
        <c:crosses val="autoZero"/>
        <c:auto val="1"/>
        <c:lblAlgn val="ctr"/>
        <c:lblOffset val="100"/>
        <c:noMultiLvlLbl val="0"/>
      </c:catAx>
      <c:valAx>
        <c:axId val="6691855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5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9316608"/>
        <c:axId val="669318528"/>
      </c:lineChart>
      <c:catAx>
        <c:axId val="6693166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18528"/>
        <c:crosses val="autoZero"/>
        <c:auto val="1"/>
        <c:lblAlgn val="ctr"/>
        <c:lblOffset val="100"/>
        <c:noMultiLvlLbl val="0"/>
      </c:catAx>
      <c:valAx>
        <c:axId val="6693185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1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Local\Microsoft\Windows\INetCache\Content.MSO\Daily-Logsheet-2079-04%20Shrawa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0%20Data_Collection%2075/Daily_Log_Sheets/Log%20Sheet%202079/Daily-Logsheet-2079-09-Pou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ample_new"/>
      <sheetName val="Sheet7"/>
      <sheetName val="Sheet8"/>
      <sheetName val="Sheet9"/>
      <sheetName val="Sheet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>
        <row r="233">
          <cell r="A233" t="str">
            <v>IPP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magh1"/>
      <sheetName val="sample"/>
      <sheetName val="Feedback"/>
    </sheetNames>
    <sheetDataSet>
      <sheetData sheetId="0"/>
      <sheetData sheetId="1"/>
      <sheetData sheetId="2"/>
      <sheetData sheetId="3">
        <row r="240">
          <cell r="A240" t="str">
            <v>IPP</v>
          </cell>
          <cell r="B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</row>
        <row r="241">
          <cell r="A241" t="str">
            <v>NEA(RoR+PRoR)</v>
          </cell>
          <cell r="B241"/>
          <cell r="U241">
            <v>4.1666666666666664E-2</v>
          </cell>
          <cell r="V241">
            <v>8.3333333333333301E-2</v>
          </cell>
          <cell r="W241">
            <v>0.125</v>
          </cell>
          <cell r="X241">
            <v>0.16666666666666699</v>
          </cell>
          <cell r="Y241">
            <v>0.20833333333333301</v>
          </cell>
          <cell r="Z241">
            <v>0.22916666666666666</v>
          </cell>
          <cell r="AA241">
            <v>0.25</v>
          </cell>
          <cell r="AB241">
            <v>0.27083333333333331</v>
          </cell>
          <cell r="AC241">
            <v>0.29166666666666669</v>
          </cell>
          <cell r="AD241">
            <v>0.3125</v>
          </cell>
          <cell r="AE241">
            <v>0.33333333333333331</v>
          </cell>
          <cell r="AF241">
            <v>0.375</v>
          </cell>
          <cell r="AG241">
            <v>0.41666666666666702</v>
          </cell>
          <cell r="AH241">
            <v>0.45833333333333298</v>
          </cell>
          <cell r="AI241">
            <v>0.5</v>
          </cell>
          <cell r="AJ241">
            <v>0.54166666666666696</v>
          </cell>
          <cell r="AK241">
            <v>0.58333333333333304</v>
          </cell>
          <cell r="AL241">
            <v>0.625</v>
          </cell>
          <cell r="AM241">
            <v>0.66666666666666696</v>
          </cell>
          <cell r="AN241">
            <v>0.70833333333333304</v>
          </cell>
          <cell r="AO241">
            <v>0.72916666666666663</v>
          </cell>
          <cell r="AP241">
            <v>0.75</v>
          </cell>
          <cell r="AQ241">
            <v>0.77083333333333337</v>
          </cell>
          <cell r="AR241">
            <v>0.79166666666666663</v>
          </cell>
          <cell r="AS241">
            <v>0.8125</v>
          </cell>
          <cell r="AT241">
            <v>0.83333333333333337</v>
          </cell>
          <cell r="AU241">
            <v>0.85416666666666663</v>
          </cell>
          <cell r="AV241">
            <v>0.875</v>
          </cell>
          <cell r="AW241">
            <v>0.91666666666666696</v>
          </cell>
          <cell r="AX241">
            <v>0.95833333333333304</v>
          </cell>
        </row>
        <row r="242">
          <cell r="A242" t="str">
            <v>KL1+KL2+KL3</v>
          </cell>
          <cell r="B242"/>
          <cell r="S242" t="str">
            <v>T_Load</v>
          </cell>
        </row>
        <row r="243">
          <cell r="A243" t="str">
            <v>Import</v>
          </cell>
          <cell r="B243"/>
        </row>
        <row r="244">
          <cell r="A244" t="str">
            <v>Export</v>
          </cell>
          <cell r="B244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workbookViewId="0">
      <pane ySplit="10" topLeftCell="A53" activePane="bottomLeft" state="frozen"/>
      <selection activeCell="Z85" sqref="Z85"/>
      <selection pane="bottomLeft" activeCell="P31" sqref="P31:P44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2079/12/1</v>
      </c>
      <c r="C4" s="236"/>
      <c r="D4" s="236"/>
      <c r="E4" s="237" t="str">
        <f ca="1">"2079/"&amp;"12/"&amp;INT(MID(CELL("filename",G6),FIND("]",CELL("filename",G6))+1,200))</f>
        <v>2079/12/1</v>
      </c>
      <c r="F4" s="237"/>
      <c r="G4" s="237"/>
      <c r="H4" s="237" t="str">
        <f ca="1">TEXT(E4,"dddd")</f>
        <v>Friday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483.8</v>
      </c>
      <c r="C5" s="33">
        <f t="shared" si="0"/>
        <v>530</v>
      </c>
      <c r="D5" s="33">
        <f t="shared" si="0"/>
        <v>533.5</v>
      </c>
      <c r="E5" s="33">
        <f t="shared" si="0"/>
        <v>517.4</v>
      </c>
      <c r="F5" s="33">
        <f t="shared" si="0"/>
        <v>504.5</v>
      </c>
      <c r="G5" s="33">
        <f t="shared" si="0"/>
        <v>505</v>
      </c>
      <c r="H5" s="33">
        <f t="shared" si="0"/>
        <v>466.40000000000003</v>
      </c>
      <c r="I5" s="33">
        <f t="shared" si="0"/>
        <v>539.6</v>
      </c>
      <c r="J5" s="33">
        <f t="shared" si="0"/>
        <v>492.90000000000003</v>
      </c>
      <c r="K5" s="33">
        <f t="shared" si="0"/>
        <v>524.9</v>
      </c>
      <c r="L5" s="33">
        <f t="shared" si="0"/>
        <v>535.5</v>
      </c>
      <c r="M5" s="33">
        <f t="shared" si="0"/>
        <v>547.70000000000005</v>
      </c>
      <c r="N5" s="33">
        <f t="shared" si="0"/>
        <v>556.29999999999995</v>
      </c>
      <c r="O5" s="33">
        <f t="shared" si="0"/>
        <v>555.9</v>
      </c>
      <c r="P5" s="33">
        <f t="shared" si="0"/>
        <v>538.54999999999995</v>
      </c>
      <c r="Q5" s="33">
        <f t="shared" si="0"/>
        <v>546.90000000000009</v>
      </c>
      <c r="R5" s="33">
        <f t="shared" si="0"/>
        <v>558.19999999999993</v>
      </c>
      <c r="S5" s="33">
        <f t="shared" si="0"/>
        <v>570.9</v>
      </c>
      <c r="T5" s="33">
        <f t="shared" si="0"/>
        <v>560.6</v>
      </c>
      <c r="U5" s="33">
        <f t="shared" si="0"/>
        <v>540.4</v>
      </c>
      <c r="V5" s="33">
        <f t="shared" si="0"/>
        <v>528.1</v>
      </c>
      <c r="W5" s="33">
        <f t="shared" si="0"/>
        <v>547.80000000000007</v>
      </c>
      <c r="X5" s="33">
        <f t="shared" si="0"/>
        <v>546.19999999999993</v>
      </c>
      <c r="Y5" s="33">
        <f t="shared" si="0"/>
        <v>481.6</v>
      </c>
      <c r="Z5" s="33">
        <f t="shared" si="0"/>
        <v>449.7</v>
      </c>
      <c r="AA5" s="33">
        <f t="shared" si="0"/>
        <v>501.6</v>
      </c>
      <c r="AB5" s="33">
        <f t="shared" si="0"/>
        <v>480</v>
      </c>
      <c r="AC5" s="33">
        <f t="shared" si="0"/>
        <v>461</v>
      </c>
      <c r="AD5" s="33">
        <f t="shared" si="0"/>
        <v>459</v>
      </c>
      <c r="AE5" s="33">
        <f t="shared" si="0"/>
        <v>449</v>
      </c>
      <c r="AF5" s="33">
        <f>B82</f>
        <v>460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1316MW at 9:00hr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Load=1056</v>
      </c>
      <c r="B7" s="38">
        <f t="shared" ref="B7:AF7" si="1">B89</f>
        <v>1324.3400000000001</v>
      </c>
      <c r="C7" s="38">
        <f t="shared" si="1"/>
        <v>1210.1400000000001</v>
      </c>
      <c r="D7" s="38">
        <f t="shared" si="1"/>
        <v>1225.3400000000001</v>
      </c>
      <c r="E7" s="38">
        <f t="shared" si="1"/>
        <v>1189.6399999999999</v>
      </c>
      <c r="F7" s="38">
        <f t="shared" si="1"/>
        <v>1143.04</v>
      </c>
      <c r="G7" s="38">
        <f t="shared" si="1"/>
        <v>1157.6399999999999</v>
      </c>
      <c r="H7" s="38">
        <f t="shared" si="1"/>
        <v>1205.04</v>
      </c>
      <c r="I7" s="38">
        <f t="shared" si="1"/>
        <v>1141.74</v>
      </c>
      <c r="J7" s="38">
        <f t="shared" si="1"/>
        <v>1141.94</v>
      </c>
      <c r="K7" s="38">
        <f t="shared" si="1"/>
        <v>1055.54</v>
      </c>
      <c r="L7" s="38">
        <f t="shared" si="1"/>
        <v>1175.24</v>
      </c>
      <c r="M7" s="38">
        <f t="shared" si="1"/>
        <v>1300.3399999999999</v>
      </c>
      <c r="N7" s="38">
        <f>N89</f>
        <v>1315.84</v>
      </c>
      <c r="O7" s="38">
        <f t="shared" si="1"/>
        <v>1286.9399999999998</v>
      </c>
      <c r="P7" s="38">
        <f t="shared" si="1"/>
        <v>1257.3400000000001</v>
      </c>
      <c r="Q7" s="38">
        <f t="shared" si="1"/>
        <v>1242.29</v>
      </c>
      <c r="R7" s="38">
        <f t="shared" si="1"/>
        <v>1194.74</v>
      </c>
      <c r="S7" s="38">
        <f t="shared" si="1"/>
        <v>1228.8399999999999</v>
      </c>
      <c r="T7" s="38">
        <f t="shared" si="1"/>
        <v>1246.7599999999998</v>
      </c>
      <c r="U7" s="38">
        <f t="shared" si="1"/>
        <v>1229.6399999999999</v>
      </c>
      <c r="V7" s="38">
        <f t="shared" si="1"/>
        <v>1220.3399999999999</v>
      </c>
      <c r="W7" s="38">
        <f t="shared" si="1"/>
        <v>1203.04</v>
      </c>
      <c r="X7" s="38">
        <f t="shared" si="1"/>
        <v>1203.6199999999999</v>
      </c>
      <c r="Y7" s="38">
        <f t="shared" si="1"/>
        <v>1321.8400000000001</v>
      </c>
      <c r="Z7" s="38">
        <f t="shared" si="1"/>
        <v>1578.54</v>
      </c>
      <c r="AA7" s="38">
        <f t="shared" si="1"/>
        <v>1538.04</v>
      </c>
      <c r="AB7" s="38">
        <f t="shared" si="1"/>
        <v>1579.2399999999998</v>
      </c>
      <c r="AC7" s="38">
        <f t="shared" si="1"/>
        <v>1453.04</v>
      </c>
      <c r="AD7" s="38">
        <f t="shared" si="1"/>
        <v>1304.04</v>
      </c>
      <c r="AE7" s="38">
        <f t="shared" si="1"/>
        <v>1297.1399999999999</v>
      </c>
      <c r="AF7" s="38">
        <f t="shared" si="1"/>
        <v>1287.1399999999999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23.6</v>
      </c>
      <c r="C11" s="50">
        <v>23.6</v>
      </c>
      <c r="D11" s="50">
        <v>23.6</v>
      </c>
      <c r="E11" s="50">
        <v>23.6</v>
      </c>
      <c r="F11" s="50">
        <v>23.6</v>
      </c>
      <c r="G11" s="50">
        <v>23.6</v>
      </c>
      <c r="H11" s="50">
        <v>23.6</v>
      </c>
      <c r="I11" s="50">
        <v>23.6</v>
      </c>
      <c r="J11" s="50">
        <v>23.6</v>
      </c>
      <c r="K11" s="50">
        <v>23.6</v>
      </c>
      <c r="L11" s="50">
        <v>23.6</v>
      </c>
      <c r="M11" s="50">
        <v>23.6</v>
      </c>
      <c r="N11" s="50">
        <v>24</v>
      </c>
      <c r="O11" s="50">
        <v>24</v>
      </c>
      <c r="P11" s="50">
        <v>24</v>
      </c>
      <c r="Q11" s="50">
        <v>24</v>
      </c>
      <c r="R11" s="50">
        <v>24</v>
      </c>
      <c r="S11" s="50">
        <v>20</v>
      </c>
      <c r="T11" s="50">
        <v>20</v>
      </c>
      <c r="U11" s="50">
        <v>20</v>
      </c>
      <c r="V11" s="50">
        <v>20</v>
      </c>
      <c r="W11" s="50">
        <v>20</v>
      </c>
      <c r="X11" s="50">
        <v>20</v>
      </c>
      <c r="Y11" s="50">
        <v>20</v>
      </c>
      <c r="Z11" s="50">
        <v>20</v>
      </c>
      <c r="AA11" s="50">
        <v>20</v>
      </c>
      <c r="AB11" s="50">
        <v>24</v>
      </c>
      <c r="AC11" s="50">
        <v>24</v>
      </c>
      <c r="AD11" s="50">
        <v>24</v>
      </c>
      <c r="AE11" s="50">
        <v>24</v>
      </c>
      <c r="AF11" s="50">
        <v>24</v>
      </c>
      <c r="AG11" s="51">
        <v>86</v>
      </c>
      <c r="AH11" s="52">
        <f t="shared" ref="AH11:AH74" si="2">MAX(B11:AF11)</f>
        <v>24</v>
      </c>
      <c r="AI11" s="53">
        <f t="shared" ref="AI11:AI74" si="3">MIN(B11:AF11)</f>
        <v>20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13</v>
      </c>
      <c r="C12" s="50">
        <v>13</v>
      </c>
      <c r="D12" s="50">
        <v>13</v>
      </c>
      <c r="E12" s="50">
        <v>13</v>
      </c>
      <c r="F12" s="50">
        <v>13</v>
      </c>
      <c r="G12" s="50">
        <v>13</v>
      </c>
      <c r="H12" s="50">
        <v>13</v>
      </c>
      <c r="I12" s="50">
        <v>13</v>
      </c>
      <c r="J12" s="50">
        <v>13</v>
      </c>
      <c r="K12" s="50">
        <v>13</v>
      </c>
      <c r="L12" s="50">
        <v>13</v>
      </c>
      <c r="M12" s="50">
        <v>13</v>
      </c>
      <c r="N12" s="50">
        <v>15.1</v>
      </c>
      <c r="O12" s="50">
        <v>15.1</v>
      </c>
      <c r="P12" s="50">
        <v>16</v>
      </c>
      <c r="Q12" s="50">
        <v>11.1</v>
      </c>
      <c r="R12" s="50">
        <v>11</v>
      </c>
      <c r="S12" s="50">
        <v>11</v>
      </c>
      <c r="T12" s="50">
        <v>11</v>
      </c>
      <c r="U12" s="50">
        <v>11</v>
      </c>
      <c r="V12" s="50">
        <v>11</v>
      </c>
      <c r="W12" s="50">
        <v>11</v>
      </c>
      <c r="X12" s="50">
        <v>11</v>
      </c>
      <c r="Y12" s="50">
        <v>11</v>
      </c>
      <c r="Z12" s="50">
        <v>11</v>
      </c>
      <c r="AA12" s="50">
        <v>11</v>
      </c>
      <c r="AB12" s="50">
        <v>13.1</v>
      </c>
      <c r="AC12" s="50">
        <v>13.1</v>
      </c>
      <c r="AD12" s="50">
        <v>13.1</v>
      </c>
      <c r="AE12" s="50">
        <v>13.1</v>
      </c>
      <c r="AF12" s="50">
        <v>13.1</v>
      </c>
      <c r="AG12" s="51">
        <v>52.4</v>
      </c>
      <c r="AH12" s="52">
        <f t="shared" si="2"/>
        <v>16</v>
      </c>
      <c r="AI12" s="53">
        <f t="shared" si="3"/>
        <v>11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31.6</v>
      </c>
      <c r="C13" s="50">
        <v>31.6</v>
      </c>
      <c r="D13" s="50">
        <v>31.6</v>
      </c>
      <c r="E13" s="50">
        <v>31.6</v>
      </c>
      <c r="F13" s="50">
        <v>31.6</v>
      </c>
      <c r="G13" s="50">
        <v>31.6</v>
      </c>
      <c r="H13" s="50">
        <v>31.6</v>
      </c>
      <c r="I13" s="50">
        <v>31.6</v>
      </c>
      <c r="J13" s="50">
        <v>31.6</v>
      </c>
      <c r="K13" s="50">
        <v>31.6</v>
      </c>
      <c r="L13" s="50">
        <v>31.6</v>
      </c>
      <c r="M13" s="50">
        <v>31.6</v>
      </c>
      <c r="N13" s="50">
        <v>32.9</v>
      </c>
      <c r="O13" s="50">
        <v>32.9</v>
      </c>
      <c r="P13" s="50">
        <v>32.6</v>
      </c>
      <c r="Q13" s="50">
        <v>32.4</v>
      </c>
      <c r="R13" s="50">
        <v>32.1</v>
      </c>
      <c r="S13" s="50">
        <v>32.1</v>
      </c>
      <c r="T13" s="50">
        <v>32.1</v>
      </c>
      <c r="U13" s="50">
        <v>32.1</v>
      </c>
      <c r="V13" s="50">
        <v>32.1</v>
      </c>
      <c r="W13" s="50">
        <v>32.1</v>
      </c>
      <c r="X13" s="50">
        <v>32.1</v>
      </c>
      <c r="Y13" s="50">
        <v>32.1</v>
      </c>
      <c r="Z13" s="50">
        <v>32.1</v>
      </c>
      <c r="AA13" s="50">
        <v>32.1</v>
      </c>
      <c r="AB13" s="50">
        <v>33.1</v>
      </c>
      <c r="AC13" s="50">
        <v>33.1</v>
      </c>
      <c r="AD13" s="50">
        <v>33.1</v>
      </c>
      <c r="AE13" s="50">
        <v>33.1</v>
      </c>
      <c r="AF13" s="50">
        <v>33.1</v>
      </c>
      <c r="AG13" s="55">
        <v>50</v>
      </c>
      <c r="AH13" s="52">
        <f t="shared" si="2"/>
        <v>33.1</v>
      </c>
      <c r="AI13" s="53">
        <f t="shared" si="3"/>
        <v>31.6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16.2</v>
      </c>
      <c r="C14" s="50">
        <v>16.2</v>
      </c>
      <c r="D14" s="50">
        <v>16.2</v>
      </c>
      <c r="E14" s="50">
        <v>16.2</v>
      </c>
      <c r="F14" s="50">
        <v>16.2</v>
      </c>
      <c r="G14" s="50">
        <v>16.2</v>
      </c>
      <c r="H14" s="50">
        <v>16.2</v>
      </c>
      <c r="I14" s="50">
        <v>16.2</v>
      </c>
      <c r="J14" s="50">
        <v>16.2</v>
      </c>
      <c r="K14" s="50">
        <v>16.2</v>
      </c>
      <c r="L14" s="50">
        <v>16.2</v>
      </c>
      <c r="M14" s="50">
        <v>16.2</v>
      </c>
      <c r="N14" s="50">
        <v>16.3</v>
      </c>
      <c r="O14" s="50">
        <v>16.3</v>
      </c>
      <c r="P14" s="50">
        <v>16.100000000000001</v>
      </c>
      <c r="Q14" s="50">
        <v>15.4</v>
      </c>
      <c r="R14" s="50">
        <v>15.6</v>
      </c>
      <c r="S14" s="50">
        <v>15.6</v>
      </c>
      <c r="T14" s="50">
        <v>15.6</v>
      </c>
      <c r="U14" s="50">
        <v>15.6</v>
      </c>
      <c r="V14" s="50">
        <v>15.6</v>
      </c>
      <c r="W14" s="50">
        <v>15.6</v>
      </c>
      <c r="X14" s="50">
        <v>15.6</v>
      </c>
      <c r="Y14" s="50">
        <v>15.6</v>
      </c>
      <c r="Z14" s="50">
        <v>15.6</v>
      </c>
      <c r="AA14" s="50">
        <v>15.6</v>
      </c>
      <c r="AB14" s="50">
        <v>16.8</v>
      </c>
      <c r="AC14" s="50">
        <v>16.8</v>
      </c>
      <c r="AD14" s="50">
        <v>16.8</v>
      </c>
      <c r="AE14" s="50">
        <v>16.8</v>
      </c>
      <c r="AF14" s="50">
        <v>16.8</v>
      </c>
      <c r="AG14" s="55">
        <v>45</v>
      </c>
      <c r="AH14" s="52">
        <f t="shared" si="2"/>
        <v>16.8</v>
      </c>
      <c r="AI14" s="53">
        <f t="shared" si="3"/>
        <v>15.4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10</v>
      </c>
      <c r="C15" s="50">
        <v>10</v>
      </c>
      <c r="D15" s="50">
        <v>10</v>
      </c>
      <c r="E15" s="50">
        <v>10</v>
      </c>
      <c r="F15" s="50">
        <v>10</v>
      </c>
      <c r="G15" s="50">
        <v>10</v>
      </c>
      <c r="H15" s="50">
        <v>10</v>
      </c>
      <c r="I15" s="50">
        <v>10</v>
      </c>
      <c r="J15" s="50">
        <v>10</v>
      </c>
      <c r="K15" s="50">
        <v>10</v>
      </c>
      <c r="L15" s="50">
        <v>10</v>
      </c>
      <c r="M15" s="50">
        <v>10</v>
      </c>
      <c r="N15" s="50">
        <v>10</v>
      </c>
      <c r="O15" s="50">
        <v>10</v>
      </c>
      <c r="P15" s="50">
        <v>10</v>
      </c>
      <c r="Q15" s="50">
        <v>10</v>
      </c>
      <c r="R15" s="50">
        <v>10</v>
      </c>
      <c r="S15" s="50">
        <v>10</v>
      </c>
      <c r="T15" s="50">
        <v>10</v>
      </c>
      <c r="U15" s="50">
        <v>10</v>
      </c>
      <c r="V15" s="50">
        <v>10</v>
      </c>
      <c r="W15" s="50">
        <v>10</v>
      </c>
      <c r="X15" s="50">
        <v>10</v>
      </c>
      <c r="Y15" s="50">
        <v>10</v>
      </c>
      <c r="Z15" s="50">
        <v>10</v>
      </c>
      <c r="AA15" s="50">
        <v>10</v>
      </c>
      <c r="AB15" s="50">
        <v>12</v>
      </c>
      <c r="AC15" s="50">
        <v>12</v>
      </c>
      <c r="AD15" s="50">
        <v>12</v>
      </c>
      <c r="AE15" s="50">
        <v>12</v>
      </c>
      <c r="AF15" s="50">
        <v>12</v>
      </c>
      <c r="AG15" s="55">
        <v>42</v>
      </c>
      <c r="AH15" s="52">
        <f t="shared" si="2"/>
        <v>12</v>
      </c>
      <c r="AI15" s="53">
        <f t="shared" si="3"/>
        <v>10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13</v>
      </c>
      <c r="N16" s="50">
        <v>13</v>
      </c>
      <c r="O16" s="50">
        <v>13</v>
      </c>
      <c r="P16" s="50">
        <v>13</v>
      </c>
      <c r="Q16" s="50">
        <v>13</v>
      </c>
      <c r="R16" s="50">
        <v>13</v>
      </c>
      <c r="S16" s="50">
        <v>13</v>
      </c>
      <c r="T16" s="50">
        <v>13</v>
      </c>
      <c r="U16" s="50">
        <v>13</v>
      </c>
      <c r="V16" s="50">
        <v>13</v>
      </c>
      <c r="W16" s="50">
        <v>13</v>
      </c>
      <c r="X16" s="50">
        <v>13</v>
      </c>
      <c r="Y16" s="50">
        <v>13</v>
      </c>
      <c r="Z16" s="50">
        <v>0</v>
      </c>
      <c r="AA16" s="50">
        <v>13</v>
      </c>
      <c r="AB16" s="50">
        <v>13</v>
      </c>
      <c r="AC16" s="50">
        <v>13</v>
      </c>
      <c r="AD16" s="50">
        <v>13</v>
      </c>
      <c r="AE16" s="50">
        <v>13</v>
      </c>
      <c r="AF16" s="50">
        <v>13</v>
      </c>
      <c r="AG16" s="55">
        <v>36</v>
      </c>
      <c r="AH16" s="52">
        <f t="shared" si="2"/>
        <v>13</v>
      </c>
      <c r="AI16" s="53">
        <f t="shared" si="3"/>
        <v>0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9.3000000000000007</v>
      </c>
      <c r="C18" s="50">
        <v>9.3000000000000007</v>
      </c>
      <c r="D18" s="50">
        <v>9.3000000000000007</v>
      </c>
      <c r="E18" s="50">
        <v>9.3000000000000007</v>
      </c>
      <c r="F18" s="50">
        <v>9.3000000000000007</v>
      </c>
      <c r="G18" s="50">
        <v>9.3000000000000007</v>
      </c>
      <c r="H18" s="50">
        <v>9.3000000000000007</v>
      </c>
      <c r="I18" s="50">
        <v>9.3000000000000007</v>
      </c>
      <c r="J18" s="50">
        <v>9.3000000000000007</v>
      </c>
      <c r="K18" s="50">
        <v>9.3000000000000007</v>
      </c>
      <c r="L18" s="50">
        <v>9.3000000000000007</v>
      </c>
      <c r="M18" s="50">
        <v>9.3000000000000007</v>
      </c>
      <c r="N18" s="50">
        <v>9.9</v>
      </c>
      <c r="O18" s="50">
        <v>9.9</v>
      </c>
      <c r="P18" s="50">
        <v>9.3000000000000007</v>
      </c>
      <c r="Q18" s="50">
        <v>9.4</v>
      </c>
      <c r="R18" s="50">
        <v>9.3000000000000007</v>
      </c>
      <c r="S18" s="50">
        <v>9.3000000000000007</v>
      </c>
      <c r="T18" s="50">
        <v>9.3000000000000007</v>
      </c>
      <c r="U18" s="50">
        <v>9.3000000000000007</v>
      </c>
      <c r="V18" s="50">
        <v>9.3000000000000007</v>
      </c>
      <c r="W18" s="50">
        <v>9.3000000000000007</v>
      </c>
      <c r="X18" s="50">
        <v>9.3000000000000007</v>
      </c>
      <c r="Y18" s="50">
        <v>9.3000000000000007</v>
      </c>
      <c r="Z18" s="50">
        <v>9.3000000000000007</v>
      </c>
      <c r="AA18" s="50">
        <v>9.3000000000000007</v>
      </c>
      <c r="AB18" s="50">
        <v>9.3000000000000007</v>
      </c>
      <c r="AC18" s="50">
        <v>9.3000000000000007</v>
      </c>
      <c r="AD18" s="50">
        <v>9.3000000000000007</v>
      </c>
      <c r="AE18" s="50">
        <v>9.3000000000000007</v>
      </c>
      <c r="AF18" s="50">
        <v>9.3000000000000007</v>
      </c>
      <c r="AG18" s="56">
        <v>30</v>
      </c>
      <c r="AH18" s="52">
        <f t="shared" si="2"/>
        <v>9.9</v>
      </c>
      <c r="AI18" s="53">
        <f t="shared" si="3"/>
        <v>9.3000000000000007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6.6</v>
      </c>
      <c r="C19" s="50">
        <v>6.6</v>
      </c>
      <c r="D19" s="50">
        <v>6.6</v>
      </c>
      <c r="E19" s="50">
        <v>6.6</v>
      </c>
      <c r="F19" s="50">
        <v>6.6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6.6</v>
      </c>
      <c r="N19" s="50">
        <v>6.5</v>
      </c>
      <c r="O19" s="50">
        <v>6.5</v>
      </c>
      <c r="P19" s="50">
        <v>6.5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6.6</v>
      </c>
      <c r="AA19" s="50">
        <v>6.6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6.6</v>
      </c>
      <c r="AI19" s="53">
        <f t="shared" si="3"/>
        <v>6.5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9</v>
      </c>
      <c r="C20" s="50">
        <v>9</v>
      </c>
      <c r="D20" s="50">
        <v>9</v>
      </c>
      <c r="E20" s="50">
        <v>9</v>
      </c>
      <c r="F20" s="50">
        <v>9</v>
      </c>
      <c r="G20" s="50">
        <v>9</v>
      </c>
      <c r="H20" s="50">
        <v>9</v>
      </c>
      <c r="I20" s="50">
        <v>9</v>
      </c>
      <c r="J20" s="50">
        <v>9</v>
      </c>
      <c r="K20" s="50">
        <v>9</v>
      </c>
      <c r="L20" s="50">
        <v>9</v>
      </c>
      <c r="M20" s="50">
        <v>8.5</v>
      </c>
      <c r="N20" s="50">
        <v>8.5</v>
      </c>
      <c r="O20" s="50">
        <v>8.5</v>
      </c>
      <c r="P20" s="50">
        <v>8.5</v>
      </c>
      <c r="Q20" s="50">
        <v>8.5</v>
      </c>
      <c r="R20" s="50">
        <v>8.5</v>
      </c>
      <c r="S20" s="50">
        <v>8.5</v>
      </c>
      <c r="T20" s="50">
        <v>8.5</v>
      </c>
      <c r="U20" s="50">
        <v>8.5</v>
      </c>
      <c r="V20" s="50">
        <v>8.5</v>
      </c>
      <c r="W20" s="50">
        <v>8.5</v>
      </c>
      <c r="X20" s="50">
        <v>8.5</v>
      </c>
      <c r="Y20" s="50">
        <v>8.5</v>
      </c>
      <c r="Z20" s="50">
        <v>8.5</v>
      </c>
      <c r="AA20" s="50">
        <v>8.5</v>
      </c>
      <c r="AB20" s="50">
        <v>8.5</v>
      </c>
      <c r="AC20" s="50">
        <v>8.5</v>
      </c>
      <c r="AD20" s="50">
        <v>8.5</v>
      </c>
      <c r="AE20" s="50">
        <v>8.5</v>
      </c>
      <c r="AF20" s="50">
        <v>8.5</v>
      </c>
      <c r="AG20" s="55">
        <v>28</v>
      </c>
      <c r="AH20" s="52">
        <f t="shared" si="2"/>
        <v>9</v>
      </c>
      <c r="AI20" s="53">
        <f t="shared" si="3"/>
        <v>8.5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6.4</v>
      </c>
      <c r="C21" s="50">
        <v>6.4</v>
      </c>
      <c r="D21" s="50">
        <v>6.4</v>
      </c>
      <c r="E21" s="50">
        <v>6.4</v>
      </c>
      <c r="F21" s="50">
        <v>6.4</v>
      </c>
      <c r="G21" s="50">
        <v>6.4</v>
      </c>
      <c r="H21" s="50">
        <v>6.4</v>
      </c>
      <c r="I21" s="50">
        <v>6.4</v>
      </c>
      <c r="J21" s="50">
        <v>6.4</v>
      </c>
      <c r="K21" s="50">
        <v>6.4</v>
      </c>
      <c r="L21" s="50">
        <v>6.4</v>
      </c>
      <c r="M21" s="50">
        <v>6.4</v>
      </c>
      <c r="N21" s="50">
        <v>6.4</v>
      </c>
      <c r="O21" s="50">
        <v>6.4</v>
      </c>
      <c r="P21" s="50">
        <v>6.4</v>
      </c>
      <c r="Q21" s="50">
        <v>6.4</v>
      </c>
      <c r="R21" s="50">
        <v>6.4</v>
      </c>
      <c r="S21" s="50">
        <v>6.4</v>
      </c>
      <c r="T21" s="50">
        <v>6.4</v>
      </c>
      <c r="U21" s="50">
        <v>6.4</v>
      </c>
      <c r="V21" s="50">
        <v>6.4</v>
      </c>
      <c r="W21" s="50">
        <v>6.4</v>
      </c>
      <c r="X21" s="50">
        <v>6.4</v>
      </c>
      <c r="Y21" s="50">
        <v>6.4</v>
      </c>
      <c r="Z21" s="50">
        <v>6.4</v>
      </c>
      <c r="AA21" s="50">
        <v>6.4</v>
      </c>
      <c r="AB21" s="50">
        <v>6.4</v>
      </c>
      <c r="AC21" s="50">
        <v>6.4</v>
      </c>
      <c r="AD21" s="50">
        <v>6.4</v>
      </c>
      <c r="AE21" s="50">
        <v>6.4</v>
      </c>
      <c r="AF21" s="50">
        <v>6.4</v>
      </c>
      <c r="AG21" s="56">
        <v>30</v>
      </c>
      <c r="AH21" s="52">
        <f t="shared" si="2"/>
        <v>6.4</v>
      </c>
      <c r="AI21" s="53">
        <f t="shared" si="3"/>
        <v>6.4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10.7</v>
      </c>
      <c r="C22" s="50">
        <v>10.7</v>
      </c>
      <c r="D22" s="50">
        <v>10.7</v>
      </c>
      <c r="E22" s="50">
        <v>10.7</v>
      </c>
      <c r="F22" s="50">
        <v>10.7</v>
      </c>
      <c r="G22" s="50">
        <v>10.7</v>
      </c>
      <c r="H22" s="50">
        <v>10.7</v>
      </c>
      <c r="I22" s="50">
        <v>10.7</v>
      </c>
      <c r="J22" s="50">
        <v>10.7</v>
      </c>
      <c r="K22" s="50">
        <v>10.7</v>
      </c>
      <c r="L22" s="50">
        <v>10.7</v>
      </c>
      <c r="M22" s="50">
        <v>10.7</v>
      </c>
      <c r="N22" s="50">
        <v>9.5</v>
      </c>
      <c r="O22" s="50">
        <v>9.5</v>
      </c>
      <c r="P22" s="50">
        <v>10.3</v>
      </c>
      <c r="Q22" s="50">
        <v>9</v>
      </c>
      <c r="R22" s="50">
        <v>9.4</v>
      </c>
      <c r="S22" s="50">
        <v>9.4</v>
      </c>
      <c r="T22" s="50">
        <v>9.4</v>
      </c>
      <c r="U22" s="50">
        <v>9.4</v>
      </c>
      <c r="V22" s="50">
        <v>9.4</v>
      </c>
      <c r="W22" s="50">
        <v>9.4</v>
      </c>
      <c r="X22" s="50">
        <v>9.4</v>
      </c>
      <c r="Y22" s="50">
        <v>9.4</v>
      </c>
      <c r="Z22" s="50">
        <v>9.4</v>
      </c>
      <c r="AA22" s="50">
        <v>9.4</v>
      </c>
      <c r="AB22" s="50">
        <v>9.4</v>
      </c>
      <c r="AC22" s="50">
        <v>9.4</v>
      </c>
      <c r="AD22" s="50">
        <v>9.4</v>
      </c>
      <c r="AE22" s="50">
        <v>9.4</v>
      </c>
      <c r="AF22" s="50">
        <v>9.4</v>
      </c>
      <c r="AG22" s="55">
        <v>25</v>
      </c>
      <c r="AH22" s="52">
        <f t="shared" si="2"/>
        <v>10.7</v>
      </c>
      <c r="AI22" s="53">
        <f t="shared" si="3"/>
        <v>9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5">
        <v>25</v>
      </c>
      <c r="AH23" s="52">
        <f t="shared" si="2"/>
        <v>9</v>
      </c>
      <c r="AI23" s="53">
        <f t="shared" si="3"/>
        <v>9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4.9000000000000004</v>
      </c>
      <c r="C26" s="50">
        <v>4.9000000000000004</v>
      </c>
      <c r="D26" s="50">
        <v>4.9000000000000004</v>
      </c>
      <c r="E26" s="50">
        <v>4.9000000000000004</v>
      </c>
      <c r="F26" s="50">
        <v>4.9000000000000004</v>
      </c>
      <c r="G26" s="50">
        <v>4.9000000000000004</v>
      </c>
      <c r="H26" s="50">
        <v>4.9000000000000004</v>
      </c>
      <c r="I26" s="50">
        <v>4.9000000000000004</v>
      </c>
      <c r="J26" s="50">
        <v>4.9000000000000004</v>
      </c>
      <c r="K26" s="50">
        <v>4.9000000000000004</v>
      </c>
      <c r="L26" s="50">
        <v>4.9000000000000004</v>
      </c>
      <c r="M26" s="50">
        <v>4.9000000000000004</v>
      </c>
      <c r="N26" s="50">
        <v>6.1</v>
      </c>
      <c r="O26" s="50">
        <v>6.1</v>
      </c>
      <c r="P26" s="50">
        <v>6.1</v>
      </c>
      <c r="Q26" s="50">
        <v>6.1</v>
      </c>
      <c r="R26" s="50">
        <v>4.9000000000000004</v>
      </c>
      <c r="S26" s="50">
        <v>4.9000000000000004</v>
      </c>
      <c r="T26" s="50">
        <v>4.9000000000000004</v>
      </c>
      <c r="U26" s="50">
        <v>4.9000000000000004</v>
      </c>
      <c r="V26" s="50">
        <v>4.9000000000000004</v>
      </c>
      <c r="W26" s="50">
        <v>4.9000000000000004</v>
      </c>
      <c r="X26" s="50">
        <v>4.9000000000000004</v>
      </c>
      <c r="Y26" s="50">
        <v>4.9000000000000004</v>
      </c>
      <c r="Z26" s="50">
        <v>4.9000000000000004</v>
      </c>
      <c r="AA26" s="50">
        <v>4.9000000000000004</v>
      </c>
      <c r="AB26" s="50">
        <v>4.9000000000000004</v>
      </c>
      <c r="AC26" s="50">
        <v>4.9000000000000004</v>
      </c>
      <c r="AD26" s="50">
        <v>4.9000000000000004</v>
      </c>
      <c r="AE26" s="50">
        <v>4.9000000000000004</v>
      </c>
      <c r="AF26" s="50">
        <v>4.9000000000000004</v>
      </c>
      <c r="AG26" s="55">
        <v>23.5</v>
      </c>
      <c r="AH26" s="52">
        <f t="shared" si="2"/>
        <v>6.1</v>
      </c>
      <c r="AI26" s="53">
        <f t="shared" si="3"/>
        <v>4.9000000000000004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3.5</v>
      </c>
      <c r="N29" s="50">
        <v>3.5</v>
      </c>
      <c r="O29" s="50">
        <v>3.5</v>
      </c>
      <c r="P29" s="50">
        <v>3.5</v>
      </c>
      <c r="Q29" s="50">
        <v>3.5</v>
      </c>
      <c r="R29" s="50">
        <v>3.5</v>
      </c>
      <c r="S29" s="50">
        <v>3.5</v>
      </c>
      <c r="T29" s="50">
        <v>3.5</v>
      </c>
      <c r="U29" s="50">
        <v>3.5</v>
      </c>
      <c r="V29" s="50">
        <v>3.5</v>
      </c>
      <c r="W29" s="50">
        <v>3.5</v>
      </c>
      <c r="X29" s="50">
        <v>3.5</v>
      </c>
      <c r="Y29" s="50">
        <v>3.5</v>
      </c>
      <c r="Z29" s="50">
        <v>3.5</v>
      </c>
      <c r="AA29" s="50">
        <v>3.5</v>
      </c>
      <c r="AB29" s="50">
        <v>3.5</v>
      </c>
      <c r="AC29" s="50">
        <v>3.5</v>
      </c>
      <c r="AD29" s="50">
        <v>3.5</v>
      </c>
      <c r="AE29" s="50">
        <v>3.5</v>
      </c>
      <c r="AF29" s="50">
        <v>3.5</v>
      </c>
      <c r="AG29" s="55">
        <v>22</v>
      </c>
      <c r="AH29" s="52">
        <f t="shared" si="2"/>
        <v>10</v>
      </c>
      <c r="AI29" s="53">
        <f t="shared" si="3"/>
        <v>3.5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9</v>
      </c>
      <c r="C30" s="50">
        <v>9</v>
      </c>
      <c r="D30" s="50">
        <v>9</v>
      </c>
      <c r="E30" s="50">
        <v>9</v>
      </c>
      <c r="F30" s="50">
        <v>9</v>
      </c>
      <c r="G30" s="50">
        <v>9</v>
      </c>
      <c r="H30" s="50">
        <v>9</v>
      </c>
      <c r="I30" s="50">
        <v>9</v>
      </c>
      <c r="J30" s="50">
        <v>9</v>
      </c>
      <c r="K30" s="50">
        <v>9</v>
      </c>
      <c r="L30" s="50">
        <v>9</v>
      </c>
      <c r="M30" s="50">
        <v>9</v>
      </c>
      <c r="N30" s="50">
        <v>8</v>
      </c>
      <c r="O30" s="50">
        <v>8</v>
      </c>
      <c r="P30" s="50">
        <v>8</v>
      </c>
      <c r="Q30" s="50">
        <v>7</v>
      </c>
      <c r="R30" s="50">
        <v>6</v>
      </c>
      <c r="S30" s="50">
        <v>6</v>
      </c>
      <c r="T30" s="50">
        <v>6</v>
      </c>
      <c r="U30" s="50">
        <v>6</v>
      </c>
      <c r="V30" s="50">
        <v>6</v>
      </c>
      <c r="W30" s="50">
        <v>6</v>
      </c>
      <c r="X30" s="50">
        <v>6</v>
      </c>
      <c r="Y30" s="50">
        <v>6</v>
      </c>
      <c r="Z30" s="50">
        <v>6</v>
      </c>
      <c r="AA30" s="50">
        <v>6</v>
      </c>
      <c r="AB30" s="50">
        <v>6</v>
      </c>
      <c r="AC30" s="50">
        <v>6</v>
      </c>
      <c r="AD30" s="50">
        <v>6</v>
      </c>
      <c r="AE30" s="50">
        <v>6</v>
      </c>
      <c r="AF30" s="50">
        <v>6</v>
      </c>
      <c r="AG30" s="55">
        <v>22</v>
      </c>
      <c r="AH30" s="52">
        <f t="shared" si="2"/>
        <v>9</v>
      </c>
      <c r="AI30" s="53">
        <f t="shared" si="3"/>
        <v>6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55">
        <v>20</v>
      </c>
      <c r="AH31" s="52">
        <f t="shared" si="2"/>
        <v>6</v>
      </c>
      <c r="AI31" s="53">
        <f t="shared" si="3"/>
        <v>6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>
        <v>4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0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0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5.2</v>
      </c>
      <c r="C38" s="50">
        <v>5.2</v>
      </c>
      <c r="D38" s="50">
        <v>5.2</v>
      </c>
      <c r="E38" s="50">
        <v>5.2</v>
      </c>
      <c r="F38" s="50">
        <v>5.2</v>
      </c>
      <c r="G38" s="50">
        <v>5.2</v>
      </c>
      <c r="H38" s="50">
        <v>5.2</v>
      </c>
      <c r="I38" s="50">
        <v>5.2</v>
      </c>
      <c r="J38" s="50">
        <v>5.2</v>
      </c>
      <c r="K38" s="50">
        <v>5.2</v>
      </c>
      <c r="L38" s="50">
        <v>5.2</v>
      </c>
      <c r="M38" s="50">
        <v>5.2</v>
      </c>
      <c r="N38" s="50">
        <v>5.2</v>
      </c>
      <c r="O38" s="50">
        <v>5.2</v>
      </c>
      <c r="P38" s="50">
        <v>5.2</v>
      </c>
      <c r="Q38" s="50">
        <v>5.2</v>
      </c>
      <c r="R38" s="50">
        <v>5.2</v>
      </c>
      <c r="S38" s="50">
        <v>5.2</v>
      </c>
      <c r="T38" s="50">
        <v>5.2</v>
      </c>
      <c r="U38" s="50">
        <v>5.2</v>
      </c>
      <c r="V38" s="50">
        <v>5.2</v>
      </c>
      <c r="W38" s="50">
        <v>5.2</v>
      </c>
      <c r="X38" s="50">
        <v>5.2</v>
      </c>
      <c r="Y38" s="50">
        <v>5.2</v>
      </c>
      <c r="Z38" s="50">
        <v>5.2</v>
      </c>
      <c r="AA38" s="50">
        <v>5.2</v>
      </c>
      <c r="AB38" s="50">
        <v>5.2</v>
      </c>
      <c r="AC38" s="50">
        <v>5.2</v>
      </c>
      <c r="AD38" s="50">
        <v>5.2</v>
      </c>
      <c r="AE38" s="50">
        <v>5.2</v>
      </c>
      <c r="AF38" s="50">
        <v>5.2</v>
      </c>
      <c r="AG38" s="55">
        <v>12</v>
      </c>
      <c r="AH38" s="52">
        <f t="shared" si="2"/>
        <v>5.2</v>
      </c>
      <c r="AI38" s="53">
        <f t="shared" si="3"/>
        <v>5.2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5</v>
      </c>
      <c r="C40" s="50">
        <v>5</v>
      </c>
      <c r="D40" s="50">
        <v>5</v>
      </c>
      <c r="E40" s="50">
        <v>5</v>
      </c>
      <c r="F40" s="50">
        <v>5</v>
      </c>
      <c r="G40" s="50">
        <v>5</v>
      </c>
      <c r="H40" s="50">
        <v>5</v>
      </c>
      <c r="I40" s="50">
        <v>5</v>
      </c>
      <c r="J40" s="50">
        <v>5</v>
      </c>
      <c r="K40" s="50">
        <v>5</v>
      </c>
      <c r="L40" s="50">
        <v>5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5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4.2</v>
      </c>
      <c r="C43" s="50">
        <v>4.2</v>
      </c>
      <c r="D43" s="50">
        <v>4.2</v>
      </c>
      <c r="E43" s="50">
        <v>4.2</v>
      </c>
      <c r="F43" s="50">
        <v>4.2</v>
      </c>
      <c r="G43" s="50">
        <v>4.2</v>
      </c>
      <c r="H43" s="50">
        <v>4.2</v>
      </c>
      <c r="I43" s="50">
        <v>4.2</v>
      </c>
      <c r="J43" s="50">
        <v>4.2</v>
      </c>
      <c r="K43" s="50">
        <v>4.2</v>
      </c>
      <c r="L43" s="50">
        <v>4.2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50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4.2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120</v>
      </c>
      <c r="C46" s="63">
        <v>120</v>
      </c>
      <c r="D46" s="63">
        <v>120</v>
      </c>
      <c r="E46" s="63">
        <v>120</v>
      </c>
      <c r="F46" s="63">
        <v>120</v>
      </c>
      <c r="G46" s="63">
        <v>120</v>
      </c>
      <c r="H46" s="63">
        <v>120</v>
      </c>
      <c r="I46" s="63">
        <v>120</v>
      </c>
      <c r="J46" s="63">
        <v>120</v>
      </c>
      <c r="K46" s="63">
        <v>120</v>
      </c>
      <c r="L46" s="63">
        <v>120</v>
      </c>
      <c r="M46" s="63">
        <v>120</v>
      </c>
      <c r="N46" s="63">
        <v>120</v>
      </c>
      <c r="O46" s="63">
        <v>120</v>
      </c>
      <c r="P46" s="63">
        <v>120</v>
      </c>
      <c r="Q46" s="63">
        <v>120</v>
      </c>
      <c r="R46" s="63">
        <v>120</v>
      </c>
      <c r="S46" s="63">
        <v>120</v>
      </c>
      <c r="T46" s="63">
        <v>120</v>
      </c>
      <c r="U46" s="63">
        <v>120</v>
      </c>
      <c r="V46" s="63">
        <v>120</v>
      </c>
      <c r="W46" s="63">
        <v>120</v>
      </c>
      <c r="X46" s="63">
        <v>120</v>
      </c>
      <c r="Y46" s="63">
        <v>120</v>
      </c>
      <c r="Z46" s="63">
        <v>120</v>
      </c>
      <c r="AA46" s="63">
        <v>120</v>
      </c>
      <c r="AB46" s="63">
        <v>120</v>
      </c>
      <c r="AC46" s="63">
        <v>120</v>
      </c>
      <c r="AD46" s="63">
        <v>120</v>
      </c>
      <c r="AE46" s="63">
        <v>120</v>
      </c>
      <c r="AF46" s="63">
        <v>120</v>
      </c>
      <c r="AG46" s="61">
        <v>85</v>
      </c>
      <c r="AH46" s="52">
        <f t="shared" si="2"/>
        <v>120</v>
      </c>
      <c r="AI46" s="53">
        <f t="shared" si="3"/>
        <v>120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 t="shared" ref="B48:AG48" si="4">SUM(B12:B46)</f>
        <v>361.4</v>
      </c>
      <c r="C48" s="67">
        <f t="shared" si="4"/>
        <v>361.4</v>
      </c>
      <c r="D48" s="67">
        <f t="shared" si="4"/>
        <v>361.4</v>
      </c>
      <c r="E48" s="67">
        <f t="shared" si="4"/>
        <v>361.4</v>
      </c>
      <c r="F48" s="67">
        <f t="shared" si="4"/>
        <v>361.4</v>
      </c>
      <c r="G48" s="67">
        <f t="shared" si="4"/>
        <v>361.4</v>
      </c>
      <c r="H48" s="67">
        <f t="shared" si="4"/>
        <v>361.4</v>
      </c>
      <c r="I48" s="67">
        <f t="shared" si="4"/>
        <v>361.4</v>
      </c>
      <c r="J48" s="67">
        <f t="shared" si="4"/>
        <v>361.4</v>
      </c>
      <c r="K48" s="67">
        <f t="shared" si="4"/>
        <v>361.4</v>
      </c>
      <c r="L48" s="67">
        <f t="shared" si="4"/>
        <v>361.4</v>
      </c>
      <c r="M48" s="67">
        <f t="shared" si="4"/>
        <v>356.19999999999993</v>
      </c>
      <c r="N48" s="67">
        <f t="shared" si="4"/>
        <v>359.19999999999993</v>
      </c>
      <c r="O48" s="67">
        <f t="shared" si="4"/>
        <v>359.19999999999993</v>
      </c>
      <c r="P48" s="67">
        <f t="shared" si="4"/>
        <v>359.79999999999995</v>
      </c>
      <c r="Q48" s="67">
        <f t="shared" si="4"/>
        <v>351.9</v>
      </c>
      <c r="R48" s="67">
        <f t="shared" si="4"/>
        <v>349.79999999999995</v>
      </c>
      <c r="S48" s="67">
        <f t="shared" si="4"/>
        <v>349.79999999999995</v>
      </c>
      <c r="T48" s="67">
        <f t="shared" si="4"/>
        <v>349.79999999999995</v>
      </c>
      <c r="U48" s="67">
        <f t="shared" si="4"/>
        <v>349.79999999999995</v>
      </c>
      <c r="V48" s="67">
        <f t="shared" si="4"/>
        <v>349.79999999999995</v>
      </c>
      <c r="W48" s="67">
        <f>SUM(W12:W46)</f>
        <v>349.79999999999995</v>
      </c>
      <c r="X48" s="67">
        <f t="shared" si="4"/>
        <v>349.79999999999995</v>
      </c>
      <c r="Y48" s="67">
        <f t="shared" si="4"/>
        <v>349.79999999999995</v>
      </c>
      <c r="Z48" s="67">
        <f t="shared" si="4"/>
        <v>329.79999999999995</v>
      </c>
      <c r="AA48" s="67">
        <f t="shared" si="4"/>
        <v>349.79999999999995</v>
      </c>
      <c r="AB48" s="67">
        <f t="shared" si="4"/>
        <v>356.09999999999997</v>
      </c>
      <c r="AC48" s="67">
        <f t="shared" si="4"/>
        <v>356.09999999999997</v>
      </c>
      <c r="AD48" s="67">
        <f t="shared" si="4"/>
        <v>356.09999999999997</v>
      </c>
      <c r="AE48" s="67">
        <f t="shared" si="4"/>
        <v>356.09999999999997</v>
      </c>
      <c r="AF48" s="67">
        <f t="shared" si="4"/>
        <v>356.09999999999997</v>
      </c>
      <c r="AG48" s="68">
        <f t="shared" si="4"/>
        <v>875.68</v>
      </c>
      <c r="AH48" s="52">
        <f t="shared" si="2"/>
        <v>361.4</v>
      </c>
      <c r="AI48" s="53">
        <f t="shared" si="3"/>
        <v>329.79999999999995</v>
      </c>
      <c r="AK48" s="54"/>
    </row>
    <row r="49" spans="1:41" x14ac:dyDescent="0.25">
      <c r="A49" s="69" t="s">
        <v>57</v>
      </c>
      <c r="B49" s="50">
        <v>145</v>
      </c>
      <c r="C49" s="50">
        <v>145</v>
      </c>
      <c r="D49" s="50">
        <v>130</v>
      </c>
      <c r="E49" s="50">
        <v>130</v>
      </c>
      <c r="F49" s="50">
        <v>130</v>
      </c>
      <c r="G49" s="50">
        <v>130</v>
      </c>
      <c r="H49" s="50">
        <v>130</v>
      </c>
      <c r="I49" s="50">
        <v>100</v>
      </c>
      <c r="J49" s="50">
        <v>40</v>
      </c>
      <c r="K49" s="50">
        <v>0</v>
      </c>
      <c r="L49" s="50">
        <v>0</v>
      </c>
      <c r="M49" s="70">
        <v>25</v>
      </c>
      <c r="N49" s="70">
        <v>50</v>
      </c>
      <c r="O49" s="50">
        <v>30</v>
      </c>
      <c r="P49" s="50">
        <v>20</v>
      </c>
      <c r="Q49" s="50">
        <v>20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15</v>
      </c>
      <c r="Y49" s="50">
        <v>76</v>
      </c>
      <c r="Z49" s="50">
        <v>140</v>
      </c>
      <c r="AA49" s="50">
        <v>150</v>
      </c>
      <c r="AB49" s="50">
        <v>150</v>
      </c>
      <c r="AC49" s="50">
        <v>150</v>
      </c>
      <c r="AD49" s="50">
        <v>120</v>
      </c>
      <c r="AE49" s="50">
        <v>125</v>
      </c>
      <c r="AF49" s="50">
        <v>145</v>
      </c>
      <c r="AG49" s="56">
        <v>456</v>
      </c>
      <c r="AH49" s="52">
        <f t="shared" si="2"/>
        <v>150</v>
      </c>
      <c r="AI49" s="53">
        <f t="shared" si="3"/>
        <v>0</v>
      </c>
      <c r="AK49" s="54"/>
    </row>
    <row r="50" spans="1:41" x14ac:dyDescent="0.25">
      <c r="A50" s="71" t="s">
        <v>58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25</v>
      </c>
      <c r="O50" s="72">
        <v>25</v>
      </c>
      <c r="P50" s="72">
        <v>25</v>
      </c>
      <c r="Q50" s="72">
        <v>25</v>
      </c>
      <c r="R50" s="72">
        <v>25</v>
      </c>
      <c r="S50" s="72">
        <v>25</v>
      </c>
      <c r="T50" s="72">
        <v>25</v>
      </c>
      <c r="U50" s="72">
        <v>25</v>
      </c>
      <c r="V50" s="72">
        <v>25</v>
      </c>
      <c r="W50" s="72">
        <v>25</v>
      </c>
      <c r="X50" s="72">
        <v>25</v>
      </c>
      <c r="Y50" s="72">
        <v>25</v>
      </c>
      <c r="Z50" s="72">
        <v>25</v>
      </c>
      <c r="AA50" s="72">
        <v>25</v>
      </c>
      <c r="AB50" s="72">
        <v>25</v>
      </c>
      <c r="AC50" s="72">
        <v>25</v>
      </c>
      <c r="AD50" s="72">
        <v>25</v>
      </c>
      <c r="AE50" s="72">
        <v>25</v>
      </c>
      <c r="AF50" s="72">
        <v>25</v>
      </c>
      <c r="AG50" s="61">
        <v>60</v>
      </c>
      <c r="AH50" s="52">
        <f t="shared" si="2"/>
        <v>25</v>
      </c>
      <c r="AI50" s="53">
        <f t="shared" si="3"/>
        <v>25</v>
      </c>
      <c r="AK50" s="54"/>
    </row>
    <row r="51" spans="1:41" ht="15.75" thickBot="1" x14ac:dyDescent="0.3">
      <c r="A51" s="73" t="s">
        <v>59</v>
      </c>
      <c r="B51" s="74">
        <v>10.6</v>
      </c>
      <c r="C51" s="74">
        <v>10.6</v>
      </c>
      <c r="D51" s="74">
        <v>10.6</v>
      </c>
      <c r="E51" s="74">
        <v>10.6</v>
      </c>
      <c r="F51" s="74">
        <v>10.6</v>
      </c>
      <c r="G51" s="74">
        <v>10.6</v>
      </c>
      <c r="H51" s="74">
        <v>10.6</v>
      </c>
      <c r="I51" s="74">
        <v>10.6</v>
      </c>
      <c r="J51" s="74">
        <v>10.6</v>
      </c>
      <c r="K51" s="74">
        <v>10.6</v>
      </c>
      <c r="L51" s="74">
        <v>10.6</v>
      </c>
      <c r="M51" s="74">
        <v>10.6</v>
      </c>
      <c r="N51" s="74">
        <v>12.2</v>
      </c>
      <c r="O51" s="74">
        <v>10</v>
      </c>
      <c r="P51" s="74">
        <v>10.6</v>
      </c>
      <c r="Q51" s="74">
        <v>10.6</v>
      </c>
      <c r="R51" s="74">
        <v>10.6</v>
      </c>
      <c r="S51" s="74">
        <v>10.6</v>
      </c>
      <c r="T51" s="74">
        <v>10.6</v>
      </c>
      <c r="U51" s="74">
        <v>10.6</v>
      </c>
      <c r="V51" s="74">
        <v>10.6</v>
      </c>
      <c r="W51" s="74">
        <v>10.6</v>
      </c>
      <c r="X51" s="74">
        <v>10.6</v>
      </c>
      <c r="Y51" s="74">
        <v>10.6</v>
      </c>
      <c r="Z51" s="74">
        <v>10.6</v>
      </c>
      <c r="AA51" s="74">
        <v>10.6</v>
      </c>
      <c r="AB51" s="74">
        <v>10.6</v>
      </c>
      <c r="AC51" s="74">
        <v>10.6</v>
      </c>
      <c r="AD51" s="74">
        <v>10.6</v>
      </c>
      <c r="AE51" s="74">
        <v>10.6</v>
      </c>
      <c r="AF51" s="74">
        <v>10.6</v>
      </c>
      <c r="AG51" s="75">
        <v>22.1</v>
      </c>
      <c r="AH51" s="52">
        <f t="shared" si="2"/>
        <v>12.2</v>
      </c>
      <c r="AI51" s="53">
        <f t="shared" si="3"/>
        <v>10</v>
      </c>
      <c r="AK51" s="54"/>
    </row>
    <row r="52" spans="1:41" ht="15.75" thickBot="1" x14ac:dyDescent="0.3">
      <c r="A52" s="76" t="s">
        <v>60</v>
      </c>
      <c r="B52" s="67">
        <f t="shared" ref="B52:AG52" si="5">SUM(B49:B51)</f>
        <v>180.6</v>
      </c>
      <c r="C52" s="67">
        <f t="shared" si="5"/>
        <v>180.6</v>
      </c>
      <c r="D52" s="67">
        <f t="shared" si="5"/>
        <v>165.6</v>
      </c>
      <c r="E52" s="67">
        <f t="shared" si="5"/>
        <v>165.6</v>
      </c>
      <c r="F52" s="67">
        <f t="shared" si="5"/>
        <v>165.6</v>
      </c>
      <c r="G52" s="67">
        <f t="shared" si="5"/>
        <v>165.6</v>
      </c>
      <c r="H52" s="67">
        <f t="shared" si="5"/>
        <v>165.6</v>
      </c>
      <c r="I52" s="67">
        <f t="shared" si="5"/>
        <v>135.6</v>
      </c>
      <c r="J52" s="67">
        <f t="shared" si="5"/>
        <v>75.599999999999994</v>
      </c>
      <c r="K52" s="67">
        <f t="shared" si="5"/>
        <v>35.6</v>
      </c>
      <c r="L52" s="67">
        <f t="shared" si="5"/>
        <v>35.6</v>
      </c>
      <c r="M52" s="67">
        <f t="shared" si="5"/>
        <v>60.6</v>
      </c>
      <c r="N52" s="67">
        <f t="shared" si="5"/>
        <v>87.2</v>
      </c>
      <c r="O52" s="67">
        <f t="shared" si="5"/>
        <v>65</v>
      </c>
      <c r="P52" s="67">
        <f t="shared" si="5"/>
        <v>55.6</v>
      </c>
      <c r="Q52" s="67">
        <f t="shared" si="5"/>
        <v>55.6</v>
      </c>
      <c r="R52" s="67">
        <f t="shared" si="5"/>
        <v>35.6</v>
      </c>
      <c r="S52" s="67">
        <f t="shared" si="5"/>
        <v>35.6</v>
      </c>
      <c r="T52" s="67">
        <f t="shared" si="5"/>
        <v>35.6</v>
      </c>
      <c r="U52" s="67">
        <f t="shared" si="5"/>
        <v>35.6</v>
      </c>
      <c r="V52" s="67">
        <f t="shared" si="5"/>
        <v>35.6</v>
      </c>
      <c r="W52" s="67">
        <f>SUM(W49:W51)</f>
        <v>35.6</v>
      </c>
      <c r="X52" s="67">
        <f t="shared" si="5"/>
        <v>50.6</v>
      </c>
      <c r="Y52" s="67">
        <f t="shared" si="5"/>
        <v>111.6</v>
      </c>
      <c r="Z52" s="67">
        <f t="shared" si="5"/>
        <v>175.6</v>
      </c>
      <c r="AA52" s="67">
        <f t="shared" si="5"/>
        <v>185.6</v>
      </c>
      <c r="AB52" s="67">
        <f t="shared" si="5"/>
        <v>185.6</v>
      </c>
      <c r="AC52" s="67">
        <f t="shared" si="5"/>
        <v>185.6</v>
      </c>
      <c r="AD52" s="67">
        <f t="shared" si="5"/>
        <v>155.6</v>
      </c>
      <c r="AE52" s="67">
        <f t="shared" si="5"/>
        <v>160.6</v>
      </c>
      <c r="AF52" s="67">
        <f t="shared" si="5"/>
        <v>180.6</v>
      </c>
      <c r="AG52" s="68">
        <f t="shared" si="5"/>
        <v>538.1</v>
      </c>
      <c r="AH52" s="52">
        <f t="shared" si="2"/>
        <v>185.6</v>
      </c>
      <c r="AI52" s="53">
        <f t="shared" si="3"/>
        <v>35.6</v>
      </c>
      <c r="AK52" s="54"/>
    </row>
    <row r="53" spans="1:41" x14ac:dyDescent="0.25">
      <c r="A53" s="49" t="s">
        <v>61</v>
      </c>
      <c r="B53" s="50">
        <v>61</v>
      </c>
      <c r="C53" s="50">
        <v>45</v>
      </c>
      <c r="D53" s="50">
        <v>30</v>
      </c>
      <c r="E53" s="50">
        <v>25.4</v>
      </c>
      <c r="F53" s="50">
        <v>25.5</v>
      </c>
      <c r="G53" s="50">
        <v>30</v>
      </c>
      <c r="H53" s="50">
        <v>47.3</v>
      </c>
      <c r="I53" s="50">
        <v>30.5</v>
      </c>
      <c r="J53" s="50">
        <v>26.8</v>
      </c>
      <c r="K53" s="50">
        <v>26.6</v>
      </c>
      <c r="L53" s="50">
        <v>26.6</v>
      </c>
      <c r="M53" s="50">
        <v>26.6</v>
      </c>
      <c r="N53" s="50">
        <v>26.5</v>
      </c>
      <c r="O53" s="50">
        <v>26.6</v>
      </c>
      <c r="P53" s="50">
        <v>57.2</v>
      </c>
      <c r="Q53" s="50">
        <v>70.900000000000006</v>
      </c>
      <c r="R53" s="50">
        <v>71.099999999999994</v>
      </c>
      <c r="S53" s="50">
        <v>71.400000000000006</v>
      </c>
      <c r="T53" s="50">
        <v>71.12</v>
      </c>
      <c r="U53" s="50">
        <v>82.6</v>
      </c>
      <c r="V53" s="50">
        <v>70</v>
      </c>
      <c r="W53" s="50">
        <v>70</v>
      </c>
      <c r="X53" s="50">
        <v>82</v>
      </c>
      <c r="Y53" s="50">
        <v>97.3</v>
      </c>
      <c r="Z53" s="50">
        <v>97.3</v>
      </c>
      <c r="AA53" s="50">
        <v>97.3</v>
      </c>
      <c r="AB53" s="50">
        <v>97.4</v>
      </c>
      <c r="AC53" s="50">
        <v>97.4</v>
      </c>
      <c r="AD53" s="50">
        <v>97.4</v>
      </c>
      <c r="AE53" s="50">
        <v>80</v>
      </c>
      <c r="AF53" s="50">
        <v>60</v>
      </c>
      <c r="AG53" s="56">
        <v>144</v>
      </c>
      <c r="AH53" s="52">
        <f t="shared" si="2"/>
        <v>97.4</v>
      </c>
      <c r="AI53" s="53">
        <f t="shared" si="3"/>
        <v>25.4</v>
      </c>
      <c r="AK53" s="54"/>
    </row>
    <row r="54" spans="1:41" x14ac:dyDescent="0.25">
      <c r="A54" s="60" t="s">
        <v>62</v>
      </c>
      <c r="B54" s="72">
        <v>37</v>
      </c>
      <c r="C54" s="72">
        <v>35</v>
      </c>
      <c r="D54" s="72">
        <v>35</v>
      </c>
      <c r="E54" s="72">
        <v>0</v>
      </c>
      <c r="F54" s="72">
        <v>0</v>
      </c>
      <c r="G54" s="72">
        <v>0</v>
      </c>
      <c r="H54" s="72">
        <v>30</v>
      </c>
      <c r="I54" s="72">
        <v>29.8</v>
      </c>
      <c r="J54" s="72">
        <v>21.9</v>
      </c>
      <c r="K54" s="72">
        <v>22.1</v>
      </c>
      <c r="L54" s="72">
        <v>22.1</v>
      </c>
      <c r="M54" s="72">
        <v>35.200000000000003</v>
      </c>
      <c r="N54" s="72">
        <v>34.700000000000003</v>
      </c>
      <c r="O54" s="72">
        <v>23.1</v>
      </c>
      <c r="P54" s="72">
        <v>34.9</v>
      </c>
      <c r="Q54" s="72">
        <v>29.8</v>
      </c>
      <c r="R54" s="50">
        <v>29.8</v>
      </c>
      <c r="S54" s="50">
        <v>29.8</v>
      </c>
      <c r="T54" s="50">
        <v>35.5</v>
      </c>
      <c r="U54" s="50">
        <v>21.8</v>
      </c>
      <c r="V54" s="50">
        <v>25</v>
      </c>
      <c r="W54" s="50">
        <v>25</v>
      </c>
      <c r="X54" s="50">
        <v>22.58</v>
      </c>
      <c r="Y54" s="50">
        <v>35</v>
      </c>
      <c r="Z54" s="50">
        <v>56.2</v>
      </c>
      <c r="AA54" s="50">
        <v>54.7</v>
      </c>
      <c r="AB54" s="72">
        <v>44.8</v>
      </c>
      <c r="AC54" s="72">
        <v>60</v>
      </c>
      <c r="AD54" s="72">
        <v>60</v>
      </c>
      <c r="AE54" s="72">
        <v>60</v>
      </c>
      <c r="AF54" s="72">
        <v>60</v>
      </c>
      <c r="AG54" s="61">
        <v>70</v>
      </c>
      <c r="AH54" s="52">
        <f t="shared" si="2"/>
        <v>60</v>
      </c>
      <c r="AI54" s="53">
        <f t="shared" si="3"/>
        <v>0</v>
      </c>
      <c r="AK54" s="54"/>
    </row>
    <row r="55" spans="1:41" x14ac:dyDescent="0.25">
      <c r="A55" s="60" t="s">
        <v>63</v>
      </c>
      <c r="B55" s="72">
        <v>44</v>
      </c>
      <c r="C55" s="72">
        <v>32</v>
      </c>
      <c r="D55" s="72">
        <v>32</v>
      </c>
      <c r="E55" s="72">
        <v>32.4</v>
      </c>
      <c r="F55" s="72">
        <v>0</v>
      </c>
      <c r="G55" s="72">
        <v>23</v>
      </c>
      <c r="H55" s="72">
        <v>22.6</v>
      </c>
      <c r="I55" s="72">
        <v>35.200000000000003</v>
      </c>
      <c r="J55" s="72">
        <v>32.299999999999997</v>
      </c>
      <c r="K55" s="72">
        <v>32.6</v>
      </c>
      <c r="L55" s="72">
        <v>32.6</v>
      </c>
      <c r="M55" s="72">
        <v>32.6</v>
      </c>
      <c r="N55" s="72">
        <v>33.299999999999997</v>
      </c>
      <c r="O55" s="72">
        <v>34.1</v>
      </c>
      <c r="P55" s="72">
        <v>47.4</v>
      </c>
      <c r="Q55" s="72">
        <v>45.7</v>
      </c>
      <c r="R55" s="50">
        <v>33.700000000000003</v>
      </c>
      <c r="S55" s="50">
        <v>47.6</v>
      </c>
      <c r="T55" s="50">
        <v>47.4</v>
      </c>
      <c r="U55" s="50">
        <v>16</v>
      </c>
      <c r="V55" s="50">
        <v>22</v>
      </c>
      <c r="W55" s="50">
        <v>22</v>
      </c>
      <c r="X55" s="50">
        <v>22.2</v>
      </c>
      <c r="Y55" s="50">
        <v>44</v>
      </c>
      <c r="Z55" s="50">
        <v>71</v>
      </c>
      <c r="AA55" s="50">
        <v>62.5</v>
      </c>
      <c r="AB55" s="72">
        <v>62.1</v>
      </c>
      <c r="AC55" s="72">
        <v>42.3</v>
      </c>
      <c r="AD55" s="72">
        <v>42.3</v>
      </c>
      <c r="AE55" s="72">
        <v>42.3</v>
      </c>
      <c r="AF55" s="72">
        <v>42.3</v>
      </c>
      <c r="AG55" s="61">
        <v>69</v>
      </c>
      <c r="AH55" s="52">
        <f t="shared" si="2"/>
        <v>71</v>
      </c>
      <c r="AI55" s="53">
        <f t="shared" si="3"/>
        <v>0</v>
      </c>
      <c r="AK55" s="54"/>
    </row>
    <row r="56" spans="1:41" x14ac:dyDescent="0.25">
      <c r="A56" s="60" t="s">
        <v>64</v>
      </c>
      <c r="B56" s="72">
        <v>36.299999999999997</v>
      </c>
      <c r="C56" s="72">
        <v>36.299999999999997</v>
      </c>
      <c r="D56" s="72">
        <v>38</v>
      </c>
      <c r="E56" s="72">
        <v>38</v>
      </c>
      <c r="F56" s="63">
        <v>39.799999999999997</v>
      </c>
      <c r="G56" s="63">
        <v>39.799999999999997</v>
      </c>
      <c r="H56" s="63">
        <v>39.799999999999997</v>
      </c>
      <c r="I56" s="63">
        <v>39.799999999999997</v>
      </c>
      <c r="J56" s="63">
        <v>39.799999999999997</v>
      </c>
      <c r="K56" s="63">
        <v>39.799999999999997</v>
      </c>
      <c r="L56" s="63">
        <v>39.799999999999997</v>
      </c>
      <c r="M56" s="63">
        <v>39.799999999999997</v>
      </c>
      <c r="N56" s="72">
        <v>38.799999999999997</v>
      </c>
      <c r="O56" s="72">
        <v>38.799999999999997</v>
      </c>
      <c r="P56" s="72">
        <v>38.799999999999997</v>
      </c>
      <c r="Q56" s="72">
        <v>37</v>
      </c>
      <c r="R56" s="50">
        <v>35</v>
      </c>
      <c r="S56" s="50">
        <v>35</v>
      </c>
      <c r="T56" s="50">
        <v>35</v>
      </c>
      <c r="U56" s="50">
        <v>36</v>
      </c>
      <c r="V56" s="50">
        <v>36</v>
      </c>
      <c r="W56" s="50">
        <v>36</v>
      </c>
      <c r="X56" s="50">
        <v>37.1</v>
      </c>
      <c r="Y56" s="50">
        <v>37.1</v>
      </c>
      <c r="Z56" s="50">
        <v>37.1</v>
      </c>
      <c r="AA56" s="50">
        <v>37.1</v>
      </c>
      <c r="AB56" s="72">
        <v>36.299999999999997</v>
      </c>
      <c r="AC56" s="72">
        <v>36.299999999999997</v>
      </c>
      <c r="AD56" s="72">
        <v>36.299999999999997</v>
      </c>
      <c r="AE56" s="72">
        <v>36.299999999999997</v>
      </c>
      <c r="AF56" s="72">
        <v>36.299999999999997</v>
      </c>
      <c r="AG56" s="61">
        <v>60</v>
      </c>
      <c r="AH56" s="52">
        <f t="shared" si="2"/>
        <v>39.799999999999997</v>
      </c>
      <c r="AI56" s="53">
        <f t="shared" si="3"/>
        <v>35</v>
      </c>
      <c r="AK56" s="54"/>
    </row>
    <row r="57" spans="1:41" x14ac:dyDescent="0.25">
      <c r="A57" s="60" t="s">
        <v>65</v>
      </c>
      <c r="B57" s="72">
        <v>10</v>
      </c>
      <c r="C57" s="72">
        <v>0</v>
      </c>
      <c r="D57" s="72">
        <v>0</v>
      </c>
      <c r="E57" s="72">
        <v>0</v>
      </c>
      <c r="F57" s="72">
        <v>0</v>
      </c>
      <c r="G57" s="72">
        <v>0</v>
      </c>
      <c r="H57" s="72">
        <v>0</v>
      </c>
      <c r="I57" s="72">
        <v>9.6999999999999993</v>
      </c>
      <c r="J57" s="72">
        <v>10.1</v>
      </c>
      <c r="K57" s="72">
        <v>10.1</v>
      </c>
      <c r="L57" s="72">
        <v>10.1</v>
      </c>
      <c r="M57" s="72">
        <v>10.1</v>
      </c>
      <c r="N57" s="72">
        <v>10.199999999999999</v>
      </c>
      <c r="O57" s="72">
        <v>10.1</v>
      </c>
      <c r="P57" s="72">
        <v>10.199999999999999</v>
      </c>
      <c r="Q57" s="72">
        <v>10.1</v>
      </c>
      <c r="R57" s="50">
        <v>10.7</v>
      </c>
      <c r="S57" s="50">
        <v>10.199999999999999</v>
      </c>
      <c r="T57" s="50">
        <v>10.199999999999999</v>
      </c>
      <c r="U57" s="50">
        <v>0</v>
      </c>
      <c r="V57" s="50">
        <v>0</v>
      </c>
      <c r="W57" s="50">
        <v>0</v>
      </c>
      <c r="X57" s="50">
        <v>10</v>
      </c>
      <c r="Y57" s="50">
        <v>10</v>
      </c>
      <c r="Z57" s="50">
        <v>0</v>
      </c>
      <c r="AA57" s="50">
        <v>28.9</v>
      </c>
      <c r="AB57" s="72">
        <v>19</v>
      </c>
      <c r="AC57" s="72">
        <v>19</v>
      </c>
      <c r="AD57" s="72">
        <v>19</v>
      </c>
      <c r="AE57" s="72">
        <v>19</v>
      </c>
      <c r="AF57" s="72">
        <v>19</v>
      </c>
      <c r="AG57" s="61">
        <v>30</v>
      </c>
      <c r="AH57" s="52">
        <f t="shared" si="2"/>
        <v>28.9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1.1000000000000001</v>
      </c>
      <c r="K58" s="72">
        <v>1.1000000000000001</v>
      </c>
      <c r="L58" s="72">
        <v>1.1000000000000001</v>
      </c>
      <c r="M58" s="72">
        <v>1.1000000000000001</v>
      </c>
      <c r="N58" s="72">
        <v>7.7</v>
      </c>
      <c r="O58" s="72">
        <v>11.5</v>
      </c>
      <c r="P58" s="72">
        <v>12.9</v>
      </c>
      <c r="Q58" s="72">
        <v>11</v>
      </c>
      <c r="R58" s="50">
        <v>8.3000000000000007</v>
      </c>
      <c r="S58" s="50">
        <v>8.3000000000000007</v>
      </c>
      <c r="T58" s="50">
        <v>8.3000000000000007</v>
      </c>
      <c r="U58" s="50">
        <v>8.3000000000000007</v>
      </c>
      <c r="V58" s="50">
        <v>8.3000000000000007</v>
      </c>
      <c r="W58" s="50">
        <v>8.3000000000000007</v>
      </c>
      <c r="X58" s="50">
        <v>8.3000000000000007</v>
      </c>
      <c r="Y58" s="50">
        <v>8.3000000000000007</v>
      </c>
      <c r="Z58" s="50">
        <v>8.3000000000000007</v>
      </c>
      <c r="AA58" s="50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1">
        <v>25</v>
      </c>
      <c r="AH58" s="52">
        <f t="shared" si="2"/>
        <v>12.9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15</v>
      </c>
      <c r="C59" s="72">
        <v>15</v>
      </c>
      <c r="D59" s="72">
        <v>12</v>
      </c>
      <c r="E59" s="72">
        <v>12</v>
      </c>
      <c r="F59" s="72">
        <v>12</v>
      </c>
      <c r="G59" s="72">
        <v>12</v>
      </c>
      <c r="H59" s="72">
        <v>12</v>
      </c>
      <c r="I59" s="72">
        <v>12</v>
      </c>
      <c r="J59" s="72">
        <v>12</v>
      </c>
      <c r="K59" s="72">
        <v>12</v>
      </c>
      <c r="L59" s="72">
        <v>12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12</v>
      </c>
      <c r="S59" s="72">
        <v>12</v>
      </c>
      <c r="T59" s="72">
        <v>12</v>
      </c>
      <c r="U59" s="72">
        <v>12</v>
      </c>
      <c r="V59" s="72">
        <v>12</v>
      </c>
      <c r="W59" s="72">
        <v>12</v>
      </c>
      <c r="X59" s="72">
        <v>12</v>
      </c>
      <c r="Y59" s="72">
        <v>12</v>
      </c>
      <c r="Z59" s="72">
        <v>12</v>
      </c>
      <c r="AA59" s="72">
        <v>12</v>
      </c>
      <c r="AB59" s="72">
        <v>12</v>
      </c>
      <c r="AC59" s="72">
        <v>12</v>
      </c>
      <c r="AD59" s="72">
        <v>12</v>
      </c>
      <c r="AE59" s="72">
        <v>12</v>
      </c>
      <c r="AF59" s="72">
        <v>12</v>
      </c>
      <c r="AG59" s="61">
        <v>24</v>
      </c>
      <c r="AH59" s="52">
        <f t="shared" si="2"/>
        <v>15</v>
      </c>
      <c r="AI59" s="53">
        <f t="shared" si="3"/>
        <v>12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7.5</v>
      </c>
      <c r="C61" s="72">
        <v>7.5</v>
      </c>
      <c r="D61" s="72">
        <v>7.8</v>
      </c>
      <c r="E61" s="72">
        <v>7.8</v>
      </c>
      <c r="F61" s="72">
        <v>7.8</v>
      </c>
      <c r="G61" s="72">
        <v>7.8</v>
      </c>
      <c r="H61" s="72">
        <v>7.8</v>
      </c>
      <c r="I61" s="72">
        <v>7.8</v>
      </c>
      <c r="J61" s="72">
        <v>7.8</v>
      </c>
      <c r="K61" s="72">
        <v>7.8</v>
      </c>
      <c r="L61" s="72">
        <v>7.8</v>
      </c>
      <c r="M61" s="72">
        <v>11.4</v>
      </c>
      <c r="N61" s="72">
        <v>11.6</v>
      </c>
      <c r="O61" s="72">
        <v>11.9</v>
      </c>
      <c r="P61" s="72">
        <v>11.9</v>
      </c>
      <c r="Q61" s="72">
        <v>11.7</v>
      </c>
      <c r="R61" s="72">
        <v>7.7</v>
      </c>
      <c r="S61" s="72">
        <v>7.7</v>
      </c>
      <c r="T61" s="72">
        <v>7.7</v>
      </c>
      <c r="U61" s="72">
        <v>7.7</v>
      </c>
      <c r="V61" s="72">
        <v>7.7</v>
      </c>
      <c r="W61" s="72">
        <v>7.7</v>
      </c>
      <c r="X61" s="72">
        <v>7.7</v>
      </c>
      <c r="Y61" s="72">
        <v>7.7</v>
      </c>
      <c r="Z61" s="72">
        <v>7.7</v>
      </c>
      <c r="AA61" s="72">
        <v>7.7</v>
      </c>
      <c r="AB61" s="72">
        <v>9.6999999999999993</v>
      </c>
      <c r="AC61" s="72">
        <v>9.6999999999999993</v>
      </c>
      <c r="AD61" s="72">
        <v>9.6999999999999993</v>
      </c>
      <c r="AE61" s="72">
        <v>9.6999999999999993</v>
      </c>
      <c r="AF61" s="72">
        <v>9.6999999999999993</v>
      </c>
      <c r="AG61" s="61">
        <v>14.1</v>
      </c>
      <c r="AH61" s="52">
        <f t="shared" si="2"/>
        <v>11.9</v>
      </c>
      <c r="AI61" s="53">
        <f t="shared" si="3"/>
        <v>7.5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4.3</v>
      </c>
      <c r="C62" s="72">
        <v>4.3</v>
      </c>
      <c r="D62" s="72">
        <v>4.3</v>
      </c>
      <c r="E62" s="72">
        <v>4.3</v>
      </c>
      <c r="F62" s="72">
        <v>4.3</v>
      </c>
      <c r="G62" s="72">
        <v>4.3</v>
      </c>
      <c r="H62" s="72">
        <v>4.3</v>
      </c>
      <c r="I62" s="72">
        <v>4.3</v>
      </c>
      <c r="J62" s="72">
        <v>4.3</v>
      </c>
      <c r="K62" s="72">
        <v>4.3</v>
      </c>
      <c r="L62" s="72">
        <v>4.3</v>
      </c>
      <c r="M62" s="72">
        <v>4.3</v>
      </c>
      <c r="N62" s="72">
        <v>4.3</v>
      </c>
      <c r="O62" s="72">
        <v>4.3</v>
      </c>
      <c r="P62" s="72">
        <v>4.5</v>
      </c>
      <c r="Q62" s="72">
        <v>5.8</v>
      </c>
      <c r="R62" s="72">
        <v>4.9000000000000004</v>
      </c>
      <c r="S62" s="72">
        <v>4.9000000000000004</v>
      </c>
      <c r="T62" s="72">
        <v>4.9000000000000004</v>
      </c>
      <c r="U62" s="72">
        <v>4.9000000000000004</v>
      </c>
      <c r="V62" s="72">
        <v>4.9000000000000004</v>
      </c>
      <c r="W62" s="72">
        <v>4.9000000000000004</v>
      </c>
      <c r="X62" s="72">
        <v>4.9000000000000004</v>
      </c>
      <c r="Y62" s="72">
        <v>4.9000000000000004</v>
      </c>
      <c r="Z62" s="72">
        <v>4.9000000000000004</v>
      </c>
      <c r="AA62" s="72">
        <v>4.9000000000000004</v>
      </c>
      <c r="AB62" s="72">
        <v>4</v>
      </c>
      <c r="AC62" s="72">
        <v>4</v>
      </c>
      <c r="AD62" s="72">
        <v>4</v>
      </c>
      <c r="AE62" s="72">
        <v>4</v>
      </c>
      <c r="AF62" s="72">
        <v>4</v>
      </c>
      <c r="AG62" s="61">
        <v>14</v>
      </c>
      <c r="AH62" s="52">
        <f t="shared" si="2"/>
        <v>5.8</v>
      </c>
      <c r="AI62" s="53">
        <f t="shared" si="3"/>
        <v>4</v>
      </c>
      <c r="AK62" s="54"/>
    </row>
    <row r="63" spans="1:41" x14ac:dyDescent="0.25">
      <c r="A63" s="60" t="s">
        <v>71</v>
      </c>
      <c r="B63" s="72">
        <v>3.1</v>
      </c>
      <c r="C63" s="72">
        <v>3.1</v>
      </c>
      <c r="D63" s="72">
        <v>3.1</v>
      </c>
      <c r="E63" s="72">
        <v>3.1</v>
      </c>
      <c r="F63" s="72">
        <v>3.1</v>
      </c>
      <c r="G63" s="72">
        <v>3.1</v>
      </c>
      <c r="H63" s="72">
        <v>3.1</v>
      </c>
      <c r="I63" s="72">
        <v>3.1</v>
      </c>
      <c r="J63" s="72">
        <v>3.1</v>
      </c>
      <c r="K63" s="72">
        <v>3.1</v>
      </c>
      <c r="L63" s="72">
        <v>3.1</v>
      </c>
      <c r="M63" s="72">
        <v>3.1</v>
      </c>
      <c r="N63" s="72">
        <v>3.5</v>
      </c>
      <c r="O63" s="72">
        <v>3.5</v>
      </c>
      <c r="P63" s="72">
        <v>3.5</v>
      </c>
      <c r="Q63" s="72">
        <v>3.5</v>
      </c>
      <c r="R63" s="72">
        <v>3.5</v>
      </c>
      <c r="S63" s="72">
        <v>3.5</v>
      </c>
      <c r="T63" s="72">
        <v>3.5</v>
      </c>
      <c r="U63" s="72">
        <v>3.5</v>
      </c>
      <c r="V63" s="72">
        <v>3.5</v>
      </c>
      <c r="W63" s="72">
        <v>3.5</v>
      </c>
      <c r="X63" s="72">
        <v>3.5</v>
      </c>
      <c r="Y63" s="72">
        <v>3.5</v>
      </c>
      <c r="Z63" s="72">
        <v>3.5</v>
      </c>
      <c r="AA63" s="72">
        <v>3.5</v>
      </c>
      <c r="AB63" s="72">
        <v>3</v>
      </c>
      <c r="AC63" s="72">
        <v>3</v>
      </c>
      <c r="AD63" s="72">
        <v>3</v>
      </c>
      <c r="AE63" s="72">
        <v>3</v>
      </c>
      <c r="AF63" s="72">
        <v>3</v>
      </c>
      <c r="AG63" s="61">
        <v>10.050000000000001</v>
      </c>
      <c r="AH63" s="52">
        <f t="shared" si="2"/>
        <v>3.5</v>
      </c>
      <c r="AI63" s="53">
        <f t="shared" si="3"/>
        <v>3</v>
      </c>
      <c r="AK63" s="54"/>
    </row>
    <row r="64" spans="1:41" x14ac:dyDescent="0.25">
      <c r="A64" s="60" t="s">
        <v>72</v>
      </c>
      <c r="B64" s="72">
        <v>2.6</v>
      </c>
      <c r="C64" s="72">
        <v>2.6</v>
      </c>
      <c r="D64" s="72">
        <v>2.6</v>
      </c>
      <c r="E64" s="72">
        <v>2.6</v>
      </c>
      <c r="F64" s="72">
        <v>2.6</v>
      </c>
      <c r="G64" s="72">
        <v>2.6</v>
      </c>
      <c r="H64" s="72">
        <v>2.6</v>
      </c>
      <c r="I64" s="72">
        <v>2.6</v>
      </c>
      <c r="J64" s="72">
        <v>2.6</v>
      </c>
      <c r="K64" s="72">
        <v>2.6</v>
      </c>
      <c r="L64" s="72">
        <v>2.6</v>
      </c>
      <c r="M64" s="72">
        <v>2.6</v>
      </c>
      <c r="N64" s="72">
        <v>2.6</v>
      </c>
      <c r="O64" s="72">
        <v>2.6</v>
      </c>
      <c r="P64" s="72">
        <v>2.6</v>
      </c>
      <c r="Q64" s="72">
        <v>2.6</v>
      </c>
      <c r="R64" s="72">
        <v>2.6</v>
      </c>
      <c r="S64" s="72">
        <v>2.6</v>
      </c>
      <c r="T64" s="72">
        <v>2.6</v>
      </c>
      <c r="U64" s="72">
        <v>2.6</v>
      </c>
      <c r="V64" s="72">
        <v>2.6</v>
      </c>
      <c r="W64" s="72">
        <v>2.6</v>
      </c>
      <c r="X64" s="72">
        <v>2.6</v>
      </c>
      <c r="Y64" s="72">
        <v>2.6</v>
      </c>
      <c r="Z64" s="72">
        <v>2.6</v>
      </c>
      <c r="AA64" s="72">
        <v>2.6</v>
      </c>
      <c r="AB64" s="72">
        <v>2.6</v>
      </c>
      <c r="AC64" s="72">
        <v>2.6</v>
      </c>
      <c r="AD64" s="72">
        <v>2.6</v>
      </c>
      <c r="AE64" s="72">
        <v>2.6</v>
      </c>
      <c r="AF64" s="72">
        <v>2.6</v>
      </c>
      <c r="AG64" s="61">
        <v>6.2</v>
      </c>
      <c r="AH64" s="52">
        <f t="shared" si="2"/>
        <v>2.6</v>
      </c>
      <c r="AI64" s="53">
        <f t="shared" si="3"/>
        <v>2.6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:AG66" si="6">SUM(B53:B65)</f>
        <v>224.34</v>
      </c>
      <c r="C66" s="67">
        <f t="shared" si="6"/>
        <v>184.34</v>
      </c>
      <c r="D66" s="67">
        <f t="shared" si="6"/>
        <v>168.34</v>
      </c>
      <c r="E66" s="67">
        <f t="shared" si="6"/>
        <v>129.13999999999999</v>
      </c>
      <c r="F66" s="67">
        <f t="shared" si="6"/>
        <v>98.639999999999986</v>
      </c>
      <c r="G66" s="67">
        <f t="shared" si="6"/>
        <v>126.13999999999999</v>
      </c>
      <c r="H66" s="67">
        <f t="shared" si="6"/>
        <v>173.04</v>
      </c>
      <c r="I66" s="67">
        <f t="shared" si="6"/>
        <v>178.34</v>
      </c>
      <c r="J66" s="67">
        <f t="shared" si="6"/>
        <v>165.34</v>
      </c>
      <c r="K66" s="67">
        <f t="shared" si="6"/>
        <v>165.64000000000001</v>
      </c>
      <c r="L66" s="67">
        <f t="shared" si="6"/>
        <v>165.64000000000001</v>
      </c>
      <c r="M66" s="67">
        <f t="shared" si="6"/>
        <v>185.33999999999997</v>
      </c>
      <c r="N66" s="67">
        <f t="shared" si="6"/>
        <v>191.73999999999998</v>
      </c>
      <c r="O66" s="67">
        <f t="shared" si="6"/>
        <v>185.04000000000002</v>
      </c>
      <c r="P66" s="67">
        <f t="shared" si="6"/>
        <v>242.44</v>
      </c>
      <c r="Q66" s="67">
        <f t="shared" si="6"/>
        <v>246.64</v>
      </c>
      <c r="R66" s="67">
        <f t="shared" si="6"/>
        <v>222.83999999999997</v>
      </c>
      <c r="S66" s="67">
        <f t="shared" si="6"/>
        <v>236.54</v>
      </c>
      <c r="T66" s="67">
        <f t="shared" si="6"/>
        <v>241.76</v>
      </c>
      <c r="U66" s="67">
        <f t="shared" si="6"/>
        <v>198.93999999999997</v>
      </c>
      <c r="V66" s="67">
        <f t="shared" si="6"/>
        <v>195.54</v>
      </c>
      <c r="W66" s="67">
        <f>SUM(W53:W65)</f>
        <v>195.54</v>
      </c>
      <c r="X66" s="67">
        <f t="shared" si="6"/>
        <v>216.42</v>
      </c>
      <c r="Y66" s="67">
        <f t="shared" si="6"/>
        <v>265.94000000000005</v>
      </c>
      <c r="Z66" s="67">
        <f t="shared" si="6"/>
        <v>304.14000000000004</v>
      </c>
      <c r="AA66" s="67">
        <f t="shared" si="6"/>
        <v>314.74</v>
      </c>
      <c r="AB66" s="67">
        <f t="shared" si="6"/>
        <v>294.44</v>
      </c>
      <c r="AC66" s="67">
        <f t="shared" si="6"/>
        <v>289.84000000000003</v>
      </c>
      <c r="AD66" s="67">
        <f t="shared" si="6"/>
        <v>289.84000000000003</v>
      </c>
      <c r="AE66" s="67">
        <f t="shared" si="6"/>
        <v>272.44000000000005</v>
      </c>
      <c r="AF66" s="67">
        <f t="shared" si="6"/>
        <v>252.44</v>
      </c>
      <c r="AG66" s="68">
        <f t="shared" si="6"/>
        <v>489.91</v>
      </c>
      <c r="AH66" s="52">
        <f t="shared" si="2"/>
        <v>314.74</v>
      </c>
      <c r="AI66" s="53">
        <f t="shared" si="3"/>
        <v>98.639999999999986</v>
      </c>
      <c r="AK66" s="54"/>
    </row>
    <row r="67" spans="1:40" x14ac:dyDescent="0.25">
      <c r="A67" s="49" t="s">
        <v>75</v>
      </c>
      <c r="B67" s="50">
        <v>60</v>
      </c>
      <c r="C67" s="50">
        <v>60</v>
      </c>
      <c r="D67" s="50">
        <v>60</v>
      </c>
      <c r="E67" s="50">
        <v>60</v>
      </c>
      <c r="F67" s="50">
        <v>60</v>
      </c>
      <c r="G67" s="50">
        <v>60</v>
      </c>
      <c r="H67" s="50">
        <v>60</v>
      </c>
      <c r="I67" s="50">
        <v>60</v>
      </c>
      <c r="J67" s="50">
        <v>60</v>
      </c>
      <c r="K67" s="50">
        <v>40</v>
      </c>
      <c r="L67" s="50">
        <v>50</v>
      </c>
      <c r="M67" s="50">
        <v>35</v>
      </c>
      <c r="N67" s="50">
        <v>25</v>
      </c>
      <c r="O67" s="50">
        <v>25</v>
      </c>
      <c r="P67" s="50">
        <v>25</v>
      </c>
      <c r="Q67" s="50">
        <v>30</v>
      </c>
      <c r="R67" s="50">
        <v>20</v>
      </c>
      <c r="S67" s="50">
        <v>30</v>
      </c>
      <c r="T67" s="50">
        <v>30</v>
      </c>
      <c r="U67" s="50">
        <v>55</v>
      </c>
      <c r="V67" s="50">
        <v>60</v>
      </c>
      <c r="W67" s="50">
        <v>55</v>
      </c>
      <c r="X67" s="50">
        <v>25</v>
      </c>
      <c r="Y67" s="50">
        <v>30</v>
      </c>
      <c r="Z67" s="50">
        <v>60</v>
      </c>
      <c r="AA67" s="50">
        <v>50</v>
      </c>
      <c r="AB67" s="50">
        <v>25</v>
      </c>
      <c r="AC67" s="50">
        <v>25</v>
      </c>
      <c r="AD67" s="50">
        <v>25</v>
      </c>
      <c r="AE67" s="50">
        <v>30</v>
      </c>
      <c r="AF67" s="50">
        <v>30</v>
      </c>
      <c r="AG67" s="56">
        <v>60</v>
      </c>
      <c r="AH67" s="52">
        <f t="shared" si="2"/>
        <v>60</v>
      </c>
      <c r="AI67" s="53">
        <f t="shared" si="3"/>
        <v>20</v>
      </c>
      <c r="AK67" s="54"/>
    </row>
    <row r="68" spans="1:40" x14ac:dyDescent="0.25">
      <c r="A68" s="60" t="s">
        <v>76</v>
      </c>
      <c r="B68" s="72">
        <v>28</v>
      </c>
      <c r="C68" s="72">
        <v>28</v>
      </c>
      <c r="D68" s="72">
        <v>28</v>
      </c>
      <c r="E68" s="72">
        <v>27.7</v>
      </c>
      <c r="F68" s="72">
        <v>27.7</v>
      </c>
      <c r="G68" s="72">
        <v>27.7</v>
      </c>
      <c r="H68" s="72">
        <v>27.6</v>
      </c>
      <c r="I68" s="72">
        <v>27.6</v>
      </c>
      <c r="J68" s="72">
        <v>27.6</v>
      </c>
      <c r="K68" s="72">
        <v>27.6</v>
      </c>
      <c r="L68" s="72">
        <v>27.6</v>
      </c>
      <c r="M68" s="72">
        <v>27.6</v>
      </c>
      <c r="N68" s="72">
        <v>11</v>
      </c>
      <c r="O68" s="72">
        <v>12</v>
      </c>
      <c r="P68" s="72">
        <v>13.6</v>
      </c>
      <c r="Q68" s="50">
        <v>14.4</v>
      </c>
      <c r="R68" s="50">
        <v>14.4</v>
      </c>
      <c r="S68" s="72">
        <v>13.7</v>
      </c>
      <c r="T68" s="72">
        <v>13.7</v>
      </c>
      <c r="U68" s="72">
        <v>21.8</v>
      </c>
      <c r="V68" s="72">
        <v>28.6</v>
      </c>
      <c r="W68" s="72">
        <v>28.6</v>
      </c>
      <c r="X68" s="72">
        <v>10.3</v>
      </c>
      <c r="Y68" s="72">
        <v>13.4</v>
      </c>
      <c r="Z68" s="72">
        <v>27.4</v>
      </c>
      <c r="AA68" s="72">
        <v>28</v>
      </c>
      <c r="AB68" s="72">
        <v>12.1</v>
      </c>
      <c r="AC68" s="72">
        <v>12.1</v>
      </c>
      <c r="AD68" s="72">
        <v>12.1</v>
      </c>
      <c r="AE68" s="72">
        <v>14</v>
      </c>
      <c r="AF68" s="72">
        <v>14</v>
      </c>
      <c r="AG68" s="61">
        <v>32</v>
      </c>
      <c r="AH68" s="52">
        <f t="shared" si="2"/>
        <v>28.6</v>
      </c>
      <c r="AI68" s="53">
        <f t="shared" si="3"/>
        <v>10.3</v>
      </c>
      <c r="AK68" s="54"/>
    </row>
    <row r="69" spans="1:40" ht="15.75" thickBot="1" x14ac:dyDescent="0.3">
      <c r="A69" s="78" t="s">
        <v>77</v>
      </c>
      <c r="B69" s="74">
        <v>10</v>
      </c>
      <c r="C69" s="74">
        <v>10</v>
      </c>
      <c r="D69" s="74">
        <v>10</v>
      </c>
      <c r="E69" s="74">
        <v>10.1</v>
      </c>
      <c r="F69" s="74">
        <v>10.1</v>
      </c>
      <c r="G69" s="74">
        <v>10.1</v>
      </c>
      <c r="H69" s="74">
        <v>10.1</v>
      </c>
      <c r="I69" s="74">
        <v>10.1</v>
      </c>
      <c r="J69" s="74">
        <v>10.1</v>
      </c>
      <c r="K69" s="74">
        <v>10.1</v>
      </c>
      <c r="L69" s="74">
        <v>10.1</v>
      </c>
      <c r="M69" s="74">
        <v>10.1</v>
      </c>
      <c r="N69" s="74">
        <v>4</v>
      </c>
      <c r="O69" s="74">
        <v>4.4000000000000004</v>
      </c>
      <c r="P69" s="74">
        <v>5</v>
      </c>
      <c r="Q69" s="50">
        <v>5.2</v>
      </c>
      <c r="R69" s="50">
        <v>5.2</v>
      </c>
      <c r="S69" s="74">
        <v>5</v>
      </c>
      <c r="T69" s="74">
        <v>5</v>
      </c>
      <c r="U69" s="74">
        <v>7.9</v>
      </c>
      <c r="V69" s="74">
        <v>10.4</v>
      </c>
      <c r="W69" s="74">
        <v>10.4</v>
      </c>
      <c r="X69" s="74">
        <v>3.7</v>
      </c>
      <c r="Y69" s="74">
        <v>4.9000000000000004</v>
      </c>
      <c r="Z69" s="74">
        <v>10</v>
      </c>
      <c r="AA69" s="74">
        <v>10.199999999999999</v>
      </c>
      <c r="AB69" s="74">
        <v>4.4000000000000004</v>
      </c>
      <c r="AC69" s="74">
        <v>4.4000000000000004</v>
      </c>
      <c r="AD69" s="74">
        <v>4.4000000000000004</v>
      </c>
      <c r="AE69" s="74">
        <v>5</v>
      </c>
      <c r="AF69" s="74">
        <v>5</v>
      </c>
      <c r="AG69" s="75">
        <v>14</v>
      </c>
      <c r="AH69" s="52">
        <f t="shared" si="2"/>
        <v>10.4</v>
      </c>
      <c r="AI69" s="53">
        <f t="shared" si="3"/>
        <v>3.7</v>
      </c>
      <c r="AK69" s="54"/>
    </row>
    <row r="70" spans="1:40" ht="15.75" thickBot="1" x14ac:dyDescent="0.3">
      <c r="A70" s="81" t="s">
        <v>78</v>
      </c>
      <c r="B70" s="67">
        <f>B67+B68+B69</f>
        <v>98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87.699999999999989</v>
      </c>
      <c r="M70" s="67">
        <f t="shared" ref="M70:AF70" si="7">M67+M68+M69</f>
        <v>72.7</v>
      </c>
      <c r="N70" s="67">
        <f t="shared" si="7"/>
        <v>40</v>
      </c>
      <c r="O70" s="67">
        <f t="shared" si="7"/>
        <v>41.4</v>
      </c>
      <c r="P70" s="67">
        <f t="shared" si="7"/>
        <v>43.6</v>
      </c>
      <c r="Q70" s="67">
        <f t="shared" si="7"/>
        <v>49.6</v>
      </c>
      <c r="R70" s="67">
        <f t="shared" si="7"/>
        <v>39.6</v>
      </c>
      <c r="S70" s="67">
        <f t="shared" si="7"/>
        <v>48.7</v>
      </c>
      <c r="T70" s="67">
        <f t="shared" si="7"/>
        <v>48.7</v>
      </c>
      <c r="U70" s="67">
        <f t="shared" si="7"/>
        <v>84.7</v>
      </c>
      <c r="V70" s="67">
        <f t="shared" si="7"/>
        <v>99</v>
      </c>
      <c r="W70" s="67">
        <f t="shared" si="7"/>
        <v>94</v>
      </c>
      <c r="X70" s="67">
        <f t="shared" si="7"/>
        <v>39</v>
      </c>
      <c r="Y70" s="67">
        <f t="shared" si="7"/>
        <v>48.3</v>
      </c>
      <c r="Z70" s="67">
        <f t="shared" si="7"/>
        <v>97.4</v>
      </c>
      <c r="AA70" s="67">
        <f t="shared" si="7"/>
        <v>88.2</v>
      </c>
      <c r="AB70" s="67">
        <f t="shared" si="7"/>
        <v>41.5</v>
      </c>
      <c r="AC70" s="67">
        <f t="shared" si="7"/>
        <v>41.5</v>
      </c>
      <c r="AD70" s="67">
        <f t="shared" si="7"/>
        <v>41.5</v>
      </c>
      <c r="AE70" s="67">
        <f t="shared" si="7"/>
        <v>49</v>
      </c>
      <c r="AF70" s="67">
        <f t="shared" si="7"/>
        <v>49</v>
      </c>
      <c r="AG70" s="68">
        <f>SUM(AG67:AG69)</f>
        <v>106</v>
      </c>
      <c r="AH70" s="52">
        <f t="shared" si="2"/>
        <v>99</v>
      </c>
      <c r="AI70" s="53">
        <f t="shared" si="3"/>
        <v>0</v>
      </c>
      <c r="AK70" s="54"/>
    </row>
    <row r="71" spans="1:40" x14ac:dyDescent="0.25">
      <c r="A71" s="49" t="s">
        <v>79</v>
      </c>
      <c r="B71" s="50">
        <v>64</v>
      </c>
      <c r="C71" s="50">
        <v>63</v>
      </c>
      <c r="D71" s="50">
        <v>68</v>
      </c>
      <c r="E71" s="50">
        <v>69.3</v>
      </c>
      <c r="F71" s="50">
        <v>63.6</v>
      </c>
      <c r="G71" s="50">
        <v>64.3</v>
      </c>
      <c r="H71" s="50">
        <v>78</v>
      </c>
      <c r="I71" s="50">
        <v>72.5</v>
      </c>
      <c r="J71" s="50">
        <v>62.3</v>
      </c>
      <c r="K71" s="50">
        <v>63.1</v>
      </c>
      <c r="L71" s="50">
        <v>66</v>
      </c>
      <c r="M71" s="50">
        <v>58.3</v>
      </c>
      <c r="N71" s="50">
        <v>49.3</v>
      </c>
      <c r="O71" s="50">
        <v>48.8</v>
      </c>
      <c r="P71" s="50">
        <v>60.9</v>
      </c>
      <c r="Q71" s="50">
        <v>58.5</v>
      </c>
      <c r="R71" s="50">
        <v>59.2</v>
      </c>
      <c r="S71" s="50">
        <v>53.4</v>
      </c>
      <c r="T71" s="50">
        <v>61.7</v>
      </c>
      <c r="U71" s="50">
        <v>71.2</v>
      </c>
      <c r="V71" s="50">
        <v>75</v>
      </c>
      <c r="W71" s="50">
        <v>65</v>
      </c>
      <c r="X71" s="50">
        <v>64</v>
      </c>
      <c r="Y71" s="50">
        <v>65.900000000000006</v>
      </c>
      <c r="Z71" s="50">
        <v>65</v>
      </c>
      <c r="AA71" s="50">
        <v>53</v>
      </c>
      <c r="AB71" s="50">
        <v>68.5</v>
      </c>
      <c r="AC71" s="50">
        <v>60</v>
      </c>
      <c r="AD71" s="50">
        <v>62</v>
      </c>
      <c r="AE71" s="50">
        <v>60</v>
      </c>
      <c r="AF71" s="50">
        <v>50</v>
      </c>
      <c r="AG71" s="56"/>
      <c r="AH71" s="52">
        <f t="shared" si="2"/>
        <v>78</v>
      </c>
      <c r="AI71" s="53">
        <f t="shared" si="3"/>
        <v>48.8</v>
      </c>
      <c r="AK71" s="54"/>
    </row>
    <row r="72" spans="1:40" x14ac:dyDescent="0.25">
      <c r="A72" s="60" t="s">
        <v>80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293</v>
      </c>
      <c r="C73" s="72">
        <v>316</v>
      </c>
      <c r="D73" s="72">
        <v>359</v>
      </c>
      <c r="E73" s="72">
        <v>366.2</v>
      </c>
      <c r="F73" s="72">
        <v>355.2</v>
      </c>
      <c r="G73" s="72">
        <v>347.5</v>
      </c>
      <c r="H73" s="72">
        <v>336.2</v>
      </c>
      <c r="I73" s="72">
        <v>305.3</v>
      </c>
      <c r="J73" s="72">
        <v>391.2</v>
      </c>
      <c r="K73" s="72">
        <v>345</v>
      </c>
      <c r="L73" s="72">
        <v>380.1</v>
      </c>
      <c r="M73" s="72">
        <v>400</v>
      </c>
      <c r="N73" s="72">
        <v>420</v>
      </c>
      <c r="O73" s="72">
        <v>431.5</v>
      </c>
      <c r="P73" s="72">
        <v>415.8</v>
      </c>
      <c r="Q73" s="72">
        <v>409.15</v>
      </c>
      <c r="R73" s="72">
        <v>418</v>
      </c>
      <c r="S73" s="72">
        <v>439</v>
      </c>
      <c r="T73" s="72">
        <v>446</v>
      </c>
      <c r="U73" s="72">
        <v>428</v>
      </c>
      <c r="V73" s="72">
        <v>404</v>
      </c>
      <c r="W73" s="72">
        <v>395</v>
      </c>
      <c r="X73" s="72">
        <v>410.9</v>
      </c>
      <c r="Y73" s="72">
        <v>404</v>
      </c>
      <c r="Z73" s="72">
        <v>337.2</v>
      </c>
      <c r="AA73" s="72">
        <v>315.2</v>
      </c>
      <c r="AB73" s="72">
        <v>352</v>
      </c>
      <c r="AC73" s="72">
        <v>337</v>
      </c>
      <c r="AD73" s="72">
        <v>316</v>
      </c>
      <c r="AE73" s="72">
        <v>316</v>
      </c>
      <c r="AF73" s="72">
        <v>316</v>
      </c>
      <c r="AG73" s="82"/>
      <c r="AH73" s="52">
        <f t="shared" si="2"/>
        <v>446</v>
      </c>
      <c r="AI73" s="53">
        <f t="shared" si="3"/>
        <v>293</v>
      </c>
      <c r="AK73" s="54"/>
    </row>
    <row r="74" spans="1:40" x14ac:dyDescent="0.25">
      <c r="A74" s="60" t="s">
        <v>82</v>
      </c>
      <c r="B74" s="72">
        <v>66</v>
      </c>
      <c r="C74" s="72">
        <v>67.8</v>
      </c>
      <c r="D74" s="72">
        <v>66</v>
      </c>
      <c r="E74" s="83">
        <v>64.2</v>
      </c>
      <c r="F74" s="83">
        <v>64.099999999999994</v>
      </c>
      <c r="G74" s="83">
        <v>61.7</v>
      </c>
      <c r="H74" s="83">
        <v>62.5</v>
      </c>
      <c r="I74" s="83">
        <v>62.5</v>
      </c>
      <c r="J74" s="83">
        <v>61.5</v>
      </c>
      <c r="K74" s="83">
        <v>60.5</v>
      </c>
      <c r="L74" s="83">
        <v>59.4</v>
      </c>
      <c r="M74" s="83">
        <v>59.2</v>
      </c>
      <c r="N74" s="83">
        <v>60.4</v>
      </c>
      <c r="O74" s="83">
        <v>59</v>
      </c>
      <c r="P74" s="83">
        <v>61.2</v>
      </c>
      <c r="Q74" s="83">
        <v>53.3</v>
      </c>
      <c r="R74" s="83">
        <v>51</v>
      </c>
      <c r="S74" s="83">
        <v>47</v>
      </c>
      <c r="T74" s="83">
        <v>45.9</v>
      </c>
      <c r="U74" s="83">
        <v>45.3</v>
      </c>
      <c r="V74" s="83">
        <v>45.3</v>
      </c>
      <c r="W74" s="83">
        <v>52</v>
      </c>
      <c r="X74" s="83">
        <v>52.7</v>
      </c>
      <c r="Y74" s="72">
        <v>54.8</v>
      </c>
      <c r="Z74" s="72">
        <v>57.3</v>
      </c>
      <c r="AA74" s="72">
        <v>59</v>
      </c>
      <c r="AB74" s="72">
        <v>58.8</v>
      </c>
      <c r="AC74" s="72">
        <v>61</v>
      </c>
      <c r="AD74" s="72">
        <v>61</v>
      </c>
      <c r="AE74" s="72">
        <v>61</v>
      </c>
      <c r="AF74" s="72">
        <v>61</v>
      </c>
      <c r="AG74" s="82"/>
      <c r="AH74" s="52">
        <f t="shared" si="2"/>
        <v>67.8</v>
      </c>
      <c r="AI74" s="53">
        <f t="shared" si="3"/>
        <v>45.3</v>
      </c>
      <c r="AK74" s="54"/>
    </row>
    <row r="75" spans="1:40" x14ac:dyDescent="0.25">
      <c r="A75" s="60" t="s">
        <v>83</v>
      </c>
      <c r="B75" s="50">
        <v>32</v>
      </c>
      <c r="C75" s="50">
        <v>32</v>
      </c>
      <c r="D75" s="50">
        <v>32</v>
      </c>
      <c r="E75" s="50">
        <v>28.8</v>
      </c>
      <c r="F75" s="50">
        <v>29.5</v>
      </c>
      <c r="G75" s="50">
        <v>26</v>
      </c>
      <c r="H75" s="50">
        <v>23.3</v>
      </c>
      <c r="I75" s="50">
        <v>21.1</v>
      </c>
      <c r="J75" s="50">
        <v>19.600000000000001</v>
      </c>
      <c r="K75" s="50">
        <v>19.3</v>
      </c>
      <c r="L75" s="50">
        <v>19.399999999999999</v>
      </c>
      <c r="M75" s="50">
        <v>18</v>
      </c>
      <c r="N75" s="50">
        <v>18</v>
      </c>
      <c r="O75" s="50">
        <v>17</v>
      </c>
      <c r="P75" s="50">
        <v>18</v>
      </c>
      <c r="Q75" s="50">
        <v>17.600000000000001</v>
      </c>
      <c r="R75" s="50">
        <v>18.7</v>
      </c>
      <c r="S75" s="50">
        <v>18.8</v>
      </c>
      <c r="T75" s="50">
        <v>17.3</v>
      </c>
      <c r="U75" s="50">
        <v>11.1</v>
      </c>
      <c r="V75" s="50">
        <v>11.1</v>
      </c>
      <c r="W75" s="50">
        <v>11.1</v>
      </c>
      <c r="X75" s="50">
        <v>15.2</v>
      </c>
      <c r="Y75" s="50">
        <v>16.5</v>
      </c>
      <c r="Z75" s="50">
        <v>17.100000000000001</v>
      </c>
      <c r="AA75" s="50">
        <v>17.5</v>
      </c>
      <c r="AB75" s="50">
        <v>17.3</v>
      </c>
      <c r="AC75" s="50">
        <v>17</v>
      </c>
      <c r="AD75" s="50">
        <v>17</v>
      </c>
      <c r="AE75" s="50">
        <v>17</v>
      </c>
      <c r="AF75" s="50">
        <v>17</v>
      </c>
      <c r="AG75" s="82"/>
      <c r="AH75" s="52">
        <f t="shared" ref="AH75:AH117" si="8">MAX(B75:AF75)</f>
        <v>32</v>
      </c>
      <c r="AI75" s="53">
        <f t="shared" ref="AI75:AI117" si="9">MIN(B75:AF75)</f>
        <v>11.1</v>
      </c>
      <c r="AK75" s="54"/>
    </row>
    <row r="76" spans="1:40" x14ac:dyDescent="0.25">
      <c r="A76" s="60" t="s">
        <v>84</v>
      </c>
      <c r="B76" s="84">
        <v>5</v>
      </c>
      <c r="C76" s="84">
        <v>5</v>
      </c>
      <c r="D76" s="84">
        <v>5</v>
      </c>
      <c r="E76" s="84">
        <v>5</v>
      </c>
      <c r="F76" s="84">
        <v>5</v>
      </c>
      <c r="G76" s="84">
        <v>5</v>
      </c>
      <c r="H76" s="84">
        <v>5</v>
      </c>
      <c r="I76" s="84">
        <v>5</v>
      </c>
      <c r="J76" s="84">
        <v>5</v>
      </c>
      <c r="K76" s="84">
        <v>5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5</v>
      </c>
      <c r="V76" s="84">
        <v>5</v>
      </c>
      <c r="W76" s="84">
        <v>5</v>
      </c>
      <c r="X76" s="84">
        <v>5</v>
      </c>
      <c r="Y76" s="84">
        <v>5</v>
      </c>
      <c r="Z76" s="84">
        <v>5</v>
      </c>
      <c r="AA76" s="84">
        <v>5</v>
      </c>
      <c r="AB76" s="84">
        <v>5</v>
      </c>
      <c r="AC76" s="84">
        <v>5</v>
      </c>
      <c r="AD76" s="84">
        <v>5</v>
      </c>
      <c r="AE76" s="84">
        <v>5</v>
      </c>
      <c r="AF76" s="84">
        <v>5</v>
      </c>
      <c r="AG76" s="82"/>
      <c r="AH76" s="52">
        <f t="shared" si="8"/>
        <v>5</v>
      </c>
      <c r="AI76" s="53">
        <f t="shared" si="9"/>
        <v>0</v>
      </c>
      <c r="AK76" s="54"/>
    </row>
    <row r="77" spans="1:40" ht="15.75" thickBot="1" x14ac:dyDescent="0.3">
      <c r="A77" s="60" t="s">
        <v>85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8"/>
        <v>0</v>
      </c>
      <c r="AI77" s="53">
        <f t="shared" si="9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8"/>
        <v>0</v>
      </c>
      <c r="AI78" s="53">
        <f t="shared" si="9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8"/>
        <v>0</v>
      </c>
      <c r="AI79" s="53">
        <f t="shared" si="9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8"/>
        <v>0</v>
      </c>
      <c r="AI80" s="53">
        <f t="shared" si="9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8"/>
        <v>0</v>
      </c>
      <c r="AI81" s="53">
        <f t="shared" si="9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:AF82" si="10">SUMIF(B71:B81,"&gt;0")</f>
        <v>460</v>
      </c>
      <c r="C82" s="67">
        <f t="shared" si="10"/>
        <v>483.8</v>
      </c>
      <c r="D82" s="67">
        <f t="shared" si="10"/>
        <v>530</v>
      </c>
      <c r="E82" s="67">
        <f t="shared" si="10"/>
        <v>533.5</v>
      </c>
      <c r="F82" s="67">
        <f t="shared" si="10"/>
        <v>517.4</v>
      </c>
      <c r="G82" s="67">
        <f t="shared" si="10"/>
        <v>504.5</v>
      </c>
      <c r="H82" s="67">
        <f t="shared" si="10"/>
        <v>505</v>
      </c>
      <c r="I82" s="67">
        <f t="shared" si="10"/>
        <v>466.40000000000003</v>
      </c>
      <c r="J82" s="67">
        <f t="shared" si="10"/>
        <v>539.6</v>
      </c>
      <c r="K82" s="67">
        <f t="shared" si="10"/>
        <v>492.90000000000003</v>
      </c>
      <c r="L82" s="67">
        <f t="shared" si="10"/>
        <v>524.9</v>
      </c>
      <c r="M82" s="67">
        <f t="shared" si="10"/>
        <v>535.5</v>
      </c>
      <c r="N82" s="67">
        <f t="shared" si="10"/>
        <v>547.70000000000005</v>
      </c>
      <c r="O82" s="67">
        <f t="shared" si="10"/>
        <v>556.29999999999995</v>
      </c>
      <c r="P82" s="67">
        <f t="shared" si="10"/>
        <v>555.9</v>
      </c>
      <c r="Q82" s="67">
        <f t="shared" si="10"/>
        <v>538.54999999999995</v>
      </c>
      <c r="R82" s="67">
        <f t="shared" si="10"/>
        <v>546.90000000000009</v>
      </c>
      <c r="S82" s="67">
        <f t="shared" si="10"/>
        <v>558.19999999999993</v>
      </c>
      <c r="T82" s="67">
        <f t="shared" si="10"/>
        <v>570.9</v>
      </c>
      <c r="U82" s="67">
        <f t="shared" si="10"/>
        <v>560.6</v>
      </c>
      <c r="V82" s="67">
        <f t="shared" si="10"/>
        <v>540.4</v>
      </c>
      <c r="W82" s="67">
        <f t="shared" si="10"/>
        <v>528.1</v>
      </c>
      <c r="X82" s="67">
        <f t="shared" si="10"/>
        <v>547.80000000000007</v>
      </c>
      <c r="Y82" s="67">
        <f t="shared" si="10"/>
        <v>546.19999999999993</v>
      </c>
      <c r="Z82" s="67">
        <f t="shared" si="10"/>
        <v>481.6</v>
      </c>
      <c r="AA82" s="67">
        <f t="shared" si="10"/>
        <v>449.7</v>
      </c>
      <c r="AB82" s="67">
        <f t="shared" si="10"/>
        <v>501.6</v>
      </c>
      <c r="AC82" s="67">
        <f t="shared" si="10"/>
        <v>480</v>
      </c>
      <c r="AD82" s="67">
        <f t="shared" si="10"/>
        <v>461</v>
      </c>
      <c r="AE82" s="67">
        <f t="shared" si="10"/>
        <v>459</v>
      </c>
      <c r="AF82" s="67">
        <f t="shared" si="10"/>
        <v>449</v>
      </c>
      <c r="AG82" s="95">
        <f>SUM(AG71:AG81)</f>
        <v>0</v>
      </c>
      <c r="AH82" s="52">
        <f t="shared" si="8"/>
        <v>570.9</v>
      </c>
      <c r="AI82" s="53">
        <f t="shared" si="9"/>
        <v>449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8"/>
        <v>0</v>
      </c>
      <c r="AI83" s="53">
        <f t="shared" si="9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8"/>
        <v>0</v>
      </c>
      <c r="AI84" s="53">
        <f t="shared" si="9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8"/>
        <v>0</v>
      </c>
      <c r="AI85" s="53">
        <f t="shared" si="9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>
        <v>0</v>
      </c>
      <c r="AA86" s="67"/>
      <c r="AB86" s="67">
        <v>100</v>
      </c>
      <c r="AC86" s="67">
        <v>50</v>
      </c>
      <c r="AD86" s="67">
        <v>0</v>
      </c>
      <c r="AE86" s="67"/>
      <c r="AF86" s="67"/>
      <c r="AG86" s="95">
        <f>SUM(AG83:AG85)</f>
        <v>55.4</v>
      </c>
      <c r="AH86" s="52">
        <f t="shared" si="8"/>
        <v>100</v>
      </c>
      <c r="AI86" s="53">
        <f t="shared" si="9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:AG87" si="11">B48+B52+B70+B66+B82+B86</f>
        <v>1324.3400000000001</v>
      </c>
      <c r="C87" s="102">
        <f t="shared" si="11"/>
        <v>1210.1400000000001</v>
      </c>
      <c r="D87" s="102">
        <f t="shared" si="11"/>
        <v>1225.3400000000001</v>
      </c>
      <c r="E87" s="102">
        <f t="shared" si="11"/>
        <v>1189.6399999999999</v>
      </c>
      <c r="F87" s="102">
        <f t="shared" si="11"/>
        <v>1143.04</v>
      </c>
      <c r="G87" s="102">
        <f t="shared" si="11"/>
        <v>1157.6399999999999</v>
      </c>
      <c r="H87" s="102">
        <f t="shared" si="11"/>
        <v>1205.04</v>
      </c>
      <c r="I87" s="102">
        <f t="shared" si="11"/>
        <v>1141.74</v>
      </c>
      <c r="J87" s="102">
        <f t="shared" si="11"/>
        <v>1141.94</v>
      </c>
      <c r="K87" s="102">
        <f t="shared" si="11"/>
        <v>1055.54</v>
      </c>
      <c r="L87" s="102">
        <f t="shared" si="11"/>
        <v>1175.24</v>
      </c>
      <c r="M87" s="102">
        <f t="shared" si="11"/>
        <v>1210.3399999999999</v>
      </c>
      <c r="N87" s="102">
        <f t="shared" si="11"/>
        <v>1225.8399999999999</v>
      </c>
      <c r="O87" s="102">
        <f t="shared" si="11"/>
        <v>1206.9399999999998</v>
      </c>
      <c r="P87" s="102">
        <f t="shared" si="11"/>
        <v>1257.3400000000001</v>
      </c>
      <c r="Q87" s="102">
        <f t="shared" si="11"/>
        <v>1242.29</v>
      </c>
      <c r="R87" s="102">
        <f t="shared" si="11"/>
        <v>1194.74</v>
      </c>
      <c r="S87" s="102">
        <f t="shared" si="11"/>
        <v>1228.8399999999999</v>
      </c>
      <c r="T87" s="102">
        <f t="shared" si="11"/>
        <v>1246.7599999999998</v>
      </c>
      <c r="U87" s="102">
        <f t="shared" si="11"/>
        <v>1229.6399999999999</v>
      </c>
      <c r="V87" s="102">
        <f t="shared" si="11"/>
        <v>1220.3399999999999</v>
      </c>
      <c r="W87" s="102">
        <f t="shared" si="11"/>
        <v>1203.04</v>
      </c>
      <c r="X87" s="102">
        <f t="shared" si="11"/>
        <v>1203.6199999999999</v>
      </c>
      <c r="Y87" s="102">
        <f t="shared" si="11"/>
        <v>1321.8400000000001</v>
      </c>
      <c r="Z87" s="102">
        <f t="shared" si="11"/>
        <v>1388.54</v>
      </c>
      <c r="AA87" s="102">
        <f t="shared" si="11"/>
        <v>1388.04</v>
      </c>
      <c r="AB87" s="102">
        <f t="shared" si="11"/>
        <v>1479.2399999999998</v>
      </c>
      <c r="AC87" s="102">
        <f t="shared" si="11"/>
        <v>1403.04</v>
      </c>
      <c r="AD87" s="102">
        <f t="shared" si="11"/>
        <v>1304.04</v>
      </c>
      <c r="AE87" s="102">
        <f t="shared" si="11"/>
        <v>1297.1399999999999</v>
      </c>
      <c r="AF87" s="102">
        <f t="shared" si="11"/>
        <v>1287.1399999999999</v>
      </c>
      <c r="AG87" s="68">
        <f t="shared" si="11"/>
        <v>2065.09</v>
      </c>
      <c r="AH87" s="52">
        <f>MAX(B87:AF87)</f>
        <v>1479.2399999999998</v>
      </c>
      <c r="AI87" s="53">
        <f>MIN(B87:AF87)</f>
        <v>1055.54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>
        <v>90</v>
      </c>
      <c r="N88" s="104">
        <v>90</v>
      </c>
      <c r="O88" s="104">
        <v>80</v>
      </c>
      <c r="P88" s="104">
        <v>0</v>
      </c>
      <c r="Q88" s="104"/>
      <c r="R88" s="104"/>
      <c r="S88" s="104"/>
      <c r="T88" s="104"/>
      <c r="U88" s="104"/>
      <c r="V88" s="104"/>
      <c r="W88" s="104"/>
      <c r="X88" s="104"/>
      <c r="Y88" s="104"/>
      <c r="Z88" s="104">
        <v>190</v>
      </c>
      <c r="AA88" s="104">
        <v>150</v>
      </c>
      <c r="AB88" s="104">
        <v>100</v>
      </c>
      <c r="AC88" s="104">
        <v>50</v>
      </c>
      <c r="AD88" s="104">
        <v>0</v>
      </c>
      <c r="AE88" s="104"/>
      <c r="AF88" s="104"/>
      <c r="AG88" s="95"/>
      <c r="AH88" s="52">
        <f t="shared" si="8"/>
        <v>190</v>
      </c>
      <c r="AI88" s="53">
        <f t="shared" si="9"/>
        <v>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:AF89" si="12">B87+B88</f>
        <v>1324.3400000000001</v>
      </c>
      <c r="C89" s="102">
        <f t="shared" si="12"/>
        <v>1210.1400000000001</v>
      </c>
      <c r="D89" s="102">
        <f t="shared" si="12"/>
        <v>1225.3400000000001</v>
      </c>
      <c r="E89" s="102">
        <f t="shared" si="12"/>
        <v>1189.6399999999999</v>
      </c>
      <c r="F89" s="102">
        <f t="shared" si="12"/>
        <v>1143.04</v>
      </c>
      <c r="G89" s="102">
        <f t="shared" si="12"/>
        <v>1157.6399999999999</v>
      </c>
      <c r="H89" s="102">
        <f t="shared" si="12"/>
        <v>1205.04</v>
      </c>
      <c r="I89" s="102">
        <f t="shared" si="12"/>
        <v>1141.74</v>
      </c>
      <c r="J89" s="102">
        <f t="shared" si="12"/>
        <v>1141.94</v>
      </c>
      <c r="K89" s="102">
        <f t="shared" si="12"/>
        <v>1055.54</v>
      </c>
      <c r="L89" s="102">
        <f t="shared" si="12"/>
        <v>1175.24</v>
      </c>
      <c r="M89" s="102">
        <f t="shared" si="12"/>
        <v>1300.3399999999999</v>
      </c>
      <c r="N89" s="102">
        <f t="shared" si="12"/>
        <v>1315.84</v>
      </c>
      <c r="O89" s="102">
        <f t="shared" si="12"/>
        <v>1286.9399999999998</v>
      </c>
      <c r="P89" s="102">
        <f t="shared" si="12"/>
        <v>1257.3400000000001</v>
      </c>
      <c r="Q89" s="102">
        <f t="shared" si="12"/>
        <v>1242.29</v>
      </c>
      <c r="R89" s="102">
        <f t="shared" si="12"/>
        <v>1194.74</v>
      </c>
      <c r="S89" s="102">
        <f t="shared" si="12"/>
        <v>1228.8399999999999</v>
      </c>
      <c r="T89" s="102">
        <f t="shared" si="12"/>
        <v>1246.7599999999998</v>
      </c>
      <c r="U89" s="102">
        <f t="shared" si="12"/>
        <v>1229.6399999999999</v>
      </c>
      <c r="V89" s="102">
        <f t="shared" si="12"/>
        <v>1220.3399999999999</v>
      </c>
      <c r="W89" s="102">
        <f t="shared" si="12"/>
        <v>1203.04</v>
      </c>
      <c r="X89" s="102">
        <f t="shared" si="12"/>
        <v>1203.6199999999999</v>
      </c>
      <c r="Y89" s="102">
        <f t="shared" si="12"/>
        <v>1321.8400000000001</v>
      </c>
      <c r="Z89" s="102">
        <f t="shared" si="12"/>
        <v>1578.54</v>
      </c>
      <c r="AA89" s="102">
        <f t="shared" si="12"/>
        <v>1538.04</v>
      </c>
      <c r="AB89" s="102">
        <f t="shared" si="12"/>
        <v>1579.2399999999998</v>
      </c>
      <c r="AC89" s="102">
        <f t="shared" si="12"/>
        <v>1453.04</v>
      </c>
      <c r="AD89" s="102">
        <f t="shared" si="12"/>
        <v>1304.04</v>
      </c>
      <c r="AE89" s="102">
        <f t="shared" si="12"/>
        <v>1297.1399999999999</v>
      </c>
      <c r="AF89" s="102">
        <f t="shared" si="12"/>
        <v>1287.1399999999999</v>
      </c>
      <c r="AG89" s="95">
        <f>AG86+AG82+AG70+AG66+AG48+AG88</f>
        <v>1526.99</v>
      </c>
      <c r="AH89" s="52">
        <f t="shared" si="8"/>
        <v>1579.2399999999998</v>
      </c>
      <c r="AI89" s="53">
        <f t="shared" si="9"/>
        <v>1055.54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:AF90" si="13">B89-B97</f>
        <v>1324.3400000000001</v>
      </c>
      <c r="C90" s="102">
        <f t="shared" si="13"/>
        <v>1210.1400000000001</v>
      </c>
      <c r="D90" s="102">
        <f t="shared" si="13"/>
        <v>1225.3400000000001</v>
      </c>
      <c r="E90" s="102">
        <f t="shared" si="13"/>
        <v>1189.6399999999999</v>
      </c>
      <c r="F90" s="102">
        <f t="shared" si="13"/>
        <v>1143.04</v>
      </c>
      <c r="G90" s="102">
        <f t="shared" si="13"/>
        <v>1157.6399999999999</v>
      </c>
      <c r="H90" s="102">
        <f t="shared" si="13"/>
        <v>1205.04</v>
      </c>
      <c r="I90" s="102">
        <f t="shared" si="13"/>
        <v>1141.74</v>
      </c>
      <c r="J90" s="102">
        <f t="shared" si="13"/>
        <v>1141.94</v>
      </c>
      <c r="K90" s="102">
        <f t="shared" si="13"/>
        <v>1055.54</v>
      </c>
      <c r="L90" s="102">
        <f t="shared" si="13"/>
        <v>1175.24</v>
      </c>
      <c r="M90" s="102">
        <f t="shared" si="13"/>
        <v>1300.3399999999999</v>
      </c>
      <c r="N90" s="102">
        <f t="shared" si="13"/>
        <v>1315.84</v>
      </c>
      <c r="O90" s="102">
        <f t="shared" si="13"/>
        <v>1286.9399999999998</v>
      </c>
      <c r="P90" s="102">
        <f t="shared" si="13"/>
        <v>1257.3400000000001</v>
      </c>
      <c r="Q90" s="102">
        <f t="shared" si="13"/>
        <v>1242.29</v>
      </c>
      <c r="R90" s="102">
        <f t="shared" si="13"/>
        <v>1194.74</v>
      </c>
      <c r="S90" s="102">
        <f t="shared" si="13"/>
        <v>1228.8399999999999</v>
      </c>
      <c r="T90" s="102">
        <f t="shared" si="13"/>
        <v>1246.7599999999998</v>
      </c>
      <c r="U90" s="102">
        <f t="shared" si="13"/>
        <v>1229.6399999999999</v>
      </c>
      <c r="V90" s="102">
        <f t="shared" si="13"/>
        <v>1220.3399999999999</v>
      </c>
      <c r="W90" s="102">
        <f t="shared" si="13"/>
        <v>1203.04</v>
      </c>
      <c r="X90" s="102">
        <f t="shared" si="13"/>
        <v>1203.6199999999999</v>
      </c>
      <c r="Y90" s="102">
        <f t="shared" si="13"/>
        <v>1321.8400000000001</v>
      </c>
      <c r="Z90" s="102">
        <v>1578.54</v>
      </c>
      <c r="AA90" s="102">
        <f t="shared" si="13"/>
        <v>1538.04</v>
      </c>
      <c r="AB90" s="102">
        <f t="shared" si="13"/>
        <v>1579.2399999999998</v>
      </c>
      <c r="AC90" s="102">
        <f t="shared" si="13"/>
        <v>1453.04</v>
      </c>
      <c r="AD90" s="102">
        <f t="shared" si="13"/>
        <v>1304.04</v>
      </c>
      <c r="AE90" s="102">
        <f t="shared" si="13"/>
        <v>1297.1399999999999</v>
      </c>
      <c r="AF90" s="102">
        <f t="shared" si="13"/>
        <v>1287.1399999999999</v>
      </c>
      <c r="AG90" s="95"/>
      <c r="AH90" s="52">
        <f t="shared" si="8"/>
        <v>1579.2399999999998</v>
      </c>
      <c r="AI90" s="53">
        <f t="shared" si="9"/>
        <v>1055.54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8"/>
        <v>0</v>
      </c>
      <c r="AI91" s="53">
        <f t="shared" si="9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8"/>
        <v>0</v>
      </c>
      <c r="AI92" s="53">
        <f t="shared" si="9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8"/>
        <v>0</v>
      </c>
      <c r="AI93" s="53">
        <f t="shared" si="9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8"/>
        <v>0</v>
      </c>
      <c r="AI94" s="53">
        <f t="shared" si="9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8"/>
        <v>0</v>
      </c>
      <c r="AI95" s="53">
        <f t="shared" si="9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8"/>
        <v>0</v>
      </c>
      <c r="AI96" s="53">
        <f t="shared" si="9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>
        <v>0</v>
      </c>
      <c r="AA97" s="67"/>
      <c r="AB97" s="67"/>
      <c r="AC97" s="67"/>
      <c r="AD97" s="67"/>
      <c r="AE97" s="67"/>
      <c r="AF97" s="67"/>
      <c r="AG97" s="95"/>
      <c r="AH97" s="52">
        <f t="shared" si="8"/>
        <v>0</v>
      </c>
      <c r="AI97" s="53">
        <f t="shared" si="9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:AF98" si="14">B82-B97</f>
        <v>460</v>
      </c>
      <c r="C98" s="67">
        <f t="shared" si="14"/>
        <v>483.8</v>
      </c>
      <c r="D98" s="67">
        <f t="shared" si="14"/>
        <v>530</v>
      </c>
      <c r="E98" s="67">
        <f t="shared" si="14"/>
        <v>533.5</v>
      </c>
      <c r="F98" s="67">
        <f t="shared" si="14"/>
        <v>517.4</v>
      </c>
      <c r="G98" s="67">
        <f t="shared" si="14"/>
        <v>504.5</v>
      </c>
      <c r="H98" s="67">
        <f t="shared" si="14"/>
        <v>505</v>
      </c>
      <c r="I98" s="67">
        <f t="shared" si="14"/>
        <v>466.40000000000003</v>
      </c>
      <c r="J98" s="67">
        <f t="shared" si="14"/>
        <v>539.6</v>
      </c>
      <c r="K98" s="67">
        <f t="shared" si="14"/>
        <v>492.90000000000003</v>
      </c>
      <c r="L98" s="67">
        <f t="shared" si="14"/>
        <v>524.9</v>
      </c>
      <c r="M98" s="67">
        <f t="shared" si="14"/>
        <v>535.5</v>
      </c>
      <c r="N98" s="67">
        <f t="shared" si="14"/>
        <v>547.70000000000005</v>
      </c>
      <c r="O98" s="67">
        <f t="shared" si="14"/>
        <v>556.29999999999995</v>
      </c>
      <c r="P98" s="67">
        <f t="shared" si="14"/>
        <v>555.9</v>
      </c>
      <c r="Q98" s="67">
        <f t="shared" si="14"/>
        <v>538.54999999999995</v>
      </c>
      <c r="R98" s="67">
        <f t="shared" si="14"/>
        <v>546.90000000000009</v>
      </c>
      <c r="S98" s="67">
        <f t="shared" si="14"/>
        <v>558.19999999999993</v>
      </c>
      <c r="T98" s="67">
        <f t="shared" si="14"/>
        <v>570.9</v>
      </c>
      <c r="U98" s="67">
        <f t="shared" si="14"/>
        <v>560.6</v>
      </c>
      <c r="V98" s="67">
        <f t="shared" si="14"/>
        <v>540.4</v>
      </c>
      <c r="W98" s="67">
        <f t="shared" si="14"/>
        <v>528.1</v>
      </c>
      <c r="X98" s="67">
        <f t="shared" si="14"/>
        <v>547.80000000000007</v>
      </c>
      <c r="Y98" s="67">
        <f t="shared" si="14"/>
        <v>546.19999999999993</v>
      </c>
      <c r="Z98" s="67">
        <f t="shared" si="14"/>
        <v>481.6</v>
      </c>
      <c r="AA98" s="67">
        <f t="shared" si="14"/>
        <v>449.7</v>
      </c>
      <c r="AB98" s="67">
        <f t="shared" si="14"/>
        <v>501.6</v>
      </c>
      <c r="AC98" s="67">
        <f t="shared" si="14"/>
        <v>480</v>
      </c>
      <c r="AD98" s="67">
        <f t="shared" si="14"/>
        <v>461</v>
      </c>
      <c r="AE98" s="67">
        <f t="shared" si="14"/>
        <v>459</v>
      </c>
      <c r="AF98" s="67">
        <f t="shared" si="14"/>
        <v>449</v>
      </c>
      <c r="AG98" s="95"/>
      <c r="AH98" s="52">
        <f t="shared" si="8"/>
        <v>570.9</v>
      </c>
      <c r="AI98" s="53">
        <f t="shared" si="9"/>
        <v>449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49.93</v>
      </c>
      <c r="C99" s="108">
        <v>49.95</v>
      </c>
      <c r="D99" s="108">
        <v>50</v>
      </c>
      <c r="E99" s="108">
        <v>50.107999999999997</v>
      </c>
      <c r="F99" s="108">
        <v>50.033000000000001</v>
      </c>
      <c r="G99" s="108">
        <v>49.932000000000002</v>
      </c>
      <c r="H99" s="108">
        <v>50.006999999999998</v>
      </c>
      <c r="I99" s="108">
        <v>50.042000000000002</v>
      </c>
      <c r="J99" s="108">
        <v>50.02</v>
      </c>
      <c r="K99" s="108">
        <v>50.02</v>
      </c>
      <c r="L99" s="108">
        <v>50.015999999999998</v>
      </c>
      <c r="M99" s="108">
        <v>49.999000000000002</v>
      </c>
      <c r="N99" s="108">
        <v>50.05</v>
      </c>
      <c r="O99" s="108">
        <v>49.997999999999998</v>
      </c>
      <c r="P99" s="108">
        <v>50.06</v>
      </c>
      <c r="Q99" s="108">
        <v>50.09</v>
      </c>
      <c r="R99" s="108">
        <v>50.06</v>
      </c>
      <c r="S99" s="108">
        <v>49.902999999999999</v>
      </c>
      <c r="T99" s="108">
        <v>49.987000000000002</v>
      </c>
      <c r="U99" s="108">
        <v>49.954000000000001</v>
      </c>
      <c r="V99" s="108">
        <v>50.024000000000001</v>
      </c>
      <c r="W99" s="108">
        <v>49.97</v>
      </c>
      <c r="X99" s="108">
        <v>50.066000000000003</v>
      </c>
      <c r="Y99" s="108">
        <v>50.095999999999997</v>
      </c>
      <c r="Z99" s="108">
        <v>50.061999999999998</v>
      </c>
      <c r="AA99" s="108">
        <v>49.987000000000002</v>
      </c>
      <c r="AB99" s="108">
        <v>50.048999999999999</v>
      </c>
      <c r="AC99" s="108">
        <v>49.93</v>
      </c>
      <c r="AD99" s="108">
        <v>49.97</v>
      </c>
      <c r="AE99" s="108">
        <v>49.96</v>
      </c>
      <c r="AF99" s="108">
        <v>49.98</v>
      </c>
      <c r="AG99" s="109"/>
      <c r="AH99" s="52">
        <f t="shared" si="8"/>
        <v>50.107999999999997</v>
      </c>
      <c r="AI99" s="53">
        <f t="shared" si="9"/>
        <v>49.902999999999999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129</v>
      </c>
      <c r="C100" s="72">
        <v>129</v>
      </c>
      <c r="D100" s="72">
        <v>127</v>
      </c>
      <c r="E100" s="72">
        <v>126.7</v>
      </c>
      <c r="F100" s="72">
        <v>128.1</v>
      </c>
      <c r="G100" s="72">
        <v>127.8</v>
      </c>
      <c r="H100" s="72">
        <v>128.1</v>
      </c>
      <c r="I100" s="72">
        <v>129.9</v>
      </c>
      <c r="J100" s="72">
        <v>127.6</v>
      </c>
      <c r="K100" s="72">
        <v>130.80000000000001</v>
      </c>
      <c r="L100" s="72">
        <v>129.69999999999999</v>
      </c>
      <c r="M100" s="72">
        <v>129.69999999999999</v>
      </c>
      <c r="N100" s="72">
        <v>126.4</v>
      </c>
      <c r="O100" s="72">
        <v>127.4</v>
      </c>
      <c r="P100" s="72">
        <v>126.7</v>
      </c>
      <c r="Q100" s="72">
        <v>128.69999999999999</v>
      </c>
      <c r="R100" s="72">
        <v>128</v>
      </c>
      <c r="S100" s="72">
        <v>128.19999999999999</v>
      </c>
      <c r="T100" s="72">
        <v>125.9</v>
      </c>
      <c r="U100" s="72">
        <v>127</v>
      </c>
      <c r="V100" s="72">
        <v>127</v>
      </c>
      <c r="W100" s="72">
        <v>127</v>
      </c>
      <c r="X100" s="72">
        <v>129</v>
      </c>
      <c r="Y100" s="72">
        <v>129</v>
      </c>
      <c r="Z100" s="72">
        <v>128</v>
      </c>
      <c r="AA100" s="72">
        <v>129.5</v>
      </c>
      <c r="AB100" s="72">
        <v>127.7</v>
      </c>
      <c r="AC100" s="72">
        <v>127</v>
      </c>
      <c r="AD100" s="72">
        <v>127</v>
      </c>
      <c r="AE100" s="72">
        <v>127</v>
      </c>
      <c r="AF100" s="72">
        <v>127</v>
      </c>
      <c r="AG100" s="111"/>
      <c r="AH100" s="52">
        <f t="shared" si="8"/>
        <v>130.80000000000001</v>
      </c>
      <c r="AI100" s="53">
        <f t="shared" si="9"/>
        <v>125.9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132</v>
      </c>
      <c r="C101" s="72">
        <v>132</v>
      </c>
      <c r="D101" s="72">
        <v>131</v>
      </c>
      <c r="E101" s="72">
        <v>131</v>
      </c>
      <c r="F101" s="72">
        <v>131.80000000000001</v>
      </c>
      <c r="G101" s="72">
        <v>131.4</v>
      </c>
      <c r="H101" s="72">
        <v>131.80000000000001</v>
      </c>
      <c r="I101" s="72">
        <v>131.9</v>
      </c>
      <c r="J101" s="72">
        <v>130.19999999999999</v>
      </c>
      <c r="K101" s="72">
        <v>132.1</v>
      </c>
      <c r="L101" s="72">
        <v>131.1</v>
      </c>
      <c r="M101" s="72">
        <v>131.1</v>
      </c>
      <c r="N101" s="72">
        <v>128.5</v>
      </c>
      <c r="O101" s="72">
        <v>129.4</v>
      </c>
      <c r="P101" s="72">
        <v>130</v>
      </c>
      <c r="Q101" s="72">
        <v>131.5</v>
      </c>
      <c r="R101" s="72">
        <v>131.5</v>
      </c>
      <c r="S101" s="72">
        <v>131.30000000000001</v>
      </c>
      <c r="T101" s="72">
        <v>129.9</v>
      </c>
      <c r="U101" s="72">
        <v>130</v>
      </c>
      <c r="V101" s="72">
        <v>130</v>
      </c>
      <c r="W101" s="72">
        <v>130</v>
      </c>
      <c r="X101" s="72">
        <v>131</v>
      </c>
      <c r="Y101" s="72">
        <v>131</v>
      </c>
      <c r="Z101" s="72">
        <v>130</v>
      </c>
      <c r="AA101" s="72">
        <v>131.6</v>
      </c>
      <c r="AB101" s="72">
        <v>130.4</v>
      </c>
      <c r="AC101" s="72">
        <v>131</v>
      </c>
      <c r="AD101" s="72">
        <v>131</v>
      </c>
      <c r="AE101" s="72">
        <v>131</v>
      </c>
      <c r="AF101" s="72">
        <v>132</v>
      </c>
      <c r="AG101" s="111"/>
      <c r="AH101" s="52">
        <f t="shared" si="8"/>
        <v>132.1</v>
      </c>
      <c r="AI101" s="53">
        <f t="shared" si="9"/>
        <v>128.5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130</v>
      </c>
      <c r="C102" s="72">
        <v>130</v>
      </c>
      <c r="D102" s="72">
        <v>128</v>
      </c>
      <c r="E102" s="72">
        <v>130.4</v>
      </c>
      <c r="F102" s="72">
        <v>130.6</v>
      </c>
      <c r="G102" s="72">
        <v>131.5</v>
      </c>
      <c r="H102" s="72">
        <v>130.6</v>
      </c>
      <c r="I102" s="72">
        <v>133.5</v>
      </c>
      <c r="J102" s="72">
        <v>133.30000000000001</v>
      </c>
      <c r="K102" s="72">
        <v>130.30000000000001</v>
      </c>
      <c r="L102" s="72">
        <v>129.9</v>
      </c>
      <c r="M102" s="72">
        <v>129.9</v>
      </c>
      <c r="N102" s="72">
        <v>129.5</v>
      </c>
      <c r="O102" s="72">
        <v>129.5</v>
      </c>
      <c r="P102" s="72">
        <v>129.4</v>
      </c>
      <c r="Q102" s="72">
        <v>131.5</v>
      </c>
      <c r="R102" s="72">
        <v>131.4</v>
      </c>
      <c r="S102" s="72">
        <v>131.4</v>
      </c>
      <c r="T102" s="72">
        <v>131.4</v>
      </c>
      <c r="U102" s="72">
        <v>132.5</v>
      </c>
      <c r="V102" s="72">
        <v>132.5</v>
      </c>
      <c r="W102" s="72">
        <v>132.5</v>
      </c>
      <c r="X102" s="72">
        <v>131.80000000000001</v>
      </c>
      <c r="Y102" s="72">
        <v>131.80000000000001</v>
      </c>
      <c r="Z102" s="72">
        <v>129.4</v>
      </c>
      <c r="AA102" s="72">
        <v>130</v>
      </c>
      <c r="AB102" s="72">
        <v>130.80000000000001</v>
      </c>
      <c r="AC102" s="72">
        <v>130</v>
      </c>
      <c r="AD102" s="72">
        <v>130</v>
      </c>
      <c r="AE102" s="72">
        <v>130</v>
      </c>
      <c r="AF102" s="72">
        <v>132</v>
      </c>
      <c r="AG102" s="111"/>
      <c r="AH102" s="52">
        <f t="shared" si="8"/>
        <v>133.5</v>
      </c>
      <c r="AI102" s="53">
        <f t="shared" si="9"/>
        <v>128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8"/>
        <v>0</v>
      </c>
      <c r="AI103" s="53">
        <f t="shared" si="9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131</v>
      </c>
      <c r="C104" s="113">
        <v>131</v>
      </c>
      <c r="D104" s="113">
        <v>131</v>
      </c>
      <c r="E104" s="113">
        <v>130.5</v>
      </c>
      <c r="F104" s="113">
        <v>136.1</v>
      </c>
      <c r="G104" s="113">
        <v>133</v>
      </c>
      <c r="H104" s="113">
        <v>136.1</v>
      </c>
      <c r="I104" s="113">
        <v>136.9</v>
      </c>
      <c r="J104" s="113">
        <v>132.1</v>
      </c>
      <c r="K104" s="113">
        <v>135.80000000000001</v>
      </c>
      <c r="L104" s="113">
        <v>134.19999999999999</v>
      </c>
      <c r="M104" s="113">
        <v>134.19999999999999</v>
      </c>
      <c r="N104" s="113">
        <v>130</v>
      </c>
      <c r="O104" s="113">
        <v>131.69999999999999</v>
      </c>
      <c r="P104" s="113">
        <v>133.19999999999999</v>
      </c>
      <c r="Q104" s="113">
        <v>135.5</v>
      </c>
      <c r="R104" s="113">
        <v>135.80000000000001</v>
      </c>
      <c r="S104" s="113">
        <v>133.6</v>
      </c>
      <c r="T104" s="113">
        <v>134</v>
      </c>
      <c r="U104" s="113">
        <v>132.4</v>
      </c>
      <c r="V104" s="113">
        <v>132.4</v>
      </c>
      <c r="W104" s="113">
        <v>132.4</v>
      </c>
      <c r="X104" s="113">
        <v>135</v>
      </c>
      <c r="Y104" s="113">
        <v>135</v>
      </c>
      <c r="Z104" s="113">
        <v>134.1</v>
      </c>
      <c r="AA104" s="113">
        <v>135.80000000000001</v>
      </c>
      <c r="AB104" s="113">
        <v>134</v>
      </c>
      <c r="AC104" s="113">
        <v>132</v>
      </c>
      <c r="AD104" s="113">
        <v>132</v>
      </c>
      <c r="AE104" s="113">
        <v>132</v>
      </c>
      <c r="AF104" s="113">
        <v>130</v>
      </c>
      <c r="AG104" s="114"/>
      <c r="AH104" s="52">
        <f t="shared" si="8"/>
        <v>136.9</v>
      </c>
      <c r="AI104" s="53">
        <f t="shared" si="9"/>
        <v>130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131</v>
      </c>
      <c r="C105" s="72">
        <v>131</v>
      </c>
      <c r="D105" s="72">
        <v>131</v>
      </c>
      <c r="E105" s="72">
        <v>132.80000000000001</v>
      </c>
      <c r="F105" s="72">
        <v>132.80000000000001</v>
      </c>
      <c r="G105" s="72">
        <v>133.19999999999999</v>
      </c>
      <c r="H105" s="72">
        <v>132.80000000000001</v>
      </c>
      <c r="I105" s="72">
        <v>130.4</v>
      </c>
      <c r="J105" s="72">
        <v>133</v>
      </c>
      <c r="K105" s="72">
        <v>125.7</v>
      </c>
      <c r="L105" s="72">
        <v>128</v>
      </c>
      <c r="M105" s="72">
        <v>128</v>
      </c>
      <c r="N105" s="72">
        <v>133.9</v>
      </c>
      <c r="O105" s="72">
        <v>132</v>
      </c>
      <c r="P105" s="72">
        <v>130.80000000000001</v>
      </c>
      <c r="Q105" s="72">
        <v>129.69999999999999</v>
      </c>
      <c r="R105" s="72">
        <v>127.5</v>
      </c>
      <c r="S105" s="72">
        <v>128.30000000000001</v>
      </c>
      <c r="T105" s="72">
        <v>128.6</v>
      </c>
      <c r="U105" s="72">
        <v>126</v>
      </c>
      <c r="V105" s="72">
        <v>126</v>
      </c>
      <c r="W105" s="72">
        <v>126</v>
      </c>
      <c r="X105" s="72">
        <v>129.69999999999999</v>
      </c>
      <c r="Y105" s="72">
        <v>129.69999999999999</v>
      </c>
      <c r="Z105" s="72">
        <v>128.1</v>
      </c>
      <c r="AA105" s="72">
        <v>131.6</v>
      </c>
      <c r="AB105" s="72">
        <v>127.9</v>
      </c>
      <c r="AC105" s="72">
        <v>127</v>
      </c>
      <c r="AD105" s="72">
        <v>127</v>
      </c>
      <c r="AE105" s="72">
        <v>127</v>
      </c>
      <c r="AF105" s="72">
        <v>129</v>
      </c>
      <c r="AG105" s="111"/>
      <c r="AH105" s="52">
        <f t="shared" si="8"/>
        <v>133.9</v>
      </c>
      <c r="AI105" s="53">
        <f t="shared" si="9"/>
        <v>125.7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66.2</v>
      </c>
      <c r="C106" s="99">
        <v>66.2</v>
      </c>
      <c r="D106" s="99">
        <v>65.900000000000006</v>
      </c>
      <c r="E106" s="99">
        <v>66</v>
      </c>
      <c r="F106" s="99">
        <v>66.2</v>
      </c>
      <c r="G106" s="99">
        <v>65.900000000000006</v>
      </c>
      <c r="H106" s="99">
        <v>66.2</v>
      </c>
      <c r="I106" s="99">
        <v>65.900000000000006</v>
      </c>
      <c r="J106" s="99">
        <v>65.400000000000006</v>
      </c>
      <c r="K106" s="99">
        <v>65.900000000000006</v>
      </c>
      <c r="L106" s="99">
        <v>65.599999999999994</v>
      </c>
      <c r="M106" s="99">
        <v>65.599999999999994</v>
      </c>
      <c r="N106" s="99">
        <v>64.8</v>
      </c>
      <c r="O106" s="99">
        <v>65.2</v>
      </c>
      <c r="P106" s="99">
        <v>65.5</v>
      </c>
      <c r="Q106" s="99">
        <v>66</v>
      </c>
      <c r="R106" s="99">
        <v>65.900000000000006</v>
      </c>
      <c r="S106" s="99">
        <v>65.7</v>
      </c>
      <c r="T106" s="99">
        <v>65.099999999999994</v>
      </c>
      <c r="U106" s="99">
        <v>65.400000000000006</v>
      </c>
      <c r="V106" s="99">
        <v>65.400000000000006</v>
      </c>
      <c r="W106" s="99">
        <v>65.400000000000006</v>
      </c>
      <c r="X106" s="99">
        <v>65.7</v>
      </c>
      <c r="Y106" s="99">
        <v>65.7</v>
      </c>
      <c r="Z106" s="99">
        <v>64.900000000000006</v>
      </c>
      <c r="AA106" s="99">
        <v>65.7</v>
      </c>
      <c r="AB106" s="99">
        <v>65.400000000000006</v>
      </c>
      <c r="AC106" s="99">
        <v>65.599999999999994</v>
      </c>
      <c r="AD106" s="99">
        <v>65.599999999999994</v>
      </c>
      <c r="AE106" s="99">
        <v>65.599999999999994</v>
      </c>
      <c r="AF106" s="99">
        <v>66.3</v>
      </c>
      <c r="AG106" s="115"/>
      <c r="AH106" s="52">
        <f t="shared" si="8"/>
        <v>66.3</v>
      </c>
      <c r="AI106" s="53">
        <f t="shared" si="9"/>
        <v>64.8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 t="s">
        <v>255</v>
      </c>
      <c r="AA107" s="99"/>
      <c r="AB107" s="99"/>
      <c r="AC107" s="99"/>
      <c r="AD107" s="99"/>
      <c r="AE107" s="99"/>
      <c r="AF107" s="99"/>
      <c r="AG107" s="115"/>
      <c r="AH107" s="52">
        <f t="shared" si="8"/>
        <v>0</v>
      </c>
      <c r="AI107" s="53">
        <f t="shared" si="9"/>
        <v>0</v>
      </c>
    </row>
    <row r="108" spans="1:88" ht="15.75" thickBot="1" x14ac:dyDescent="0.3">
      <c r="A108" s="117" t="s">
        <v>116</v>
      </c>
      <c r="B108" s="118">
        <f t="shared" ref="B108:AD108" si="15">SUM(B18,B24,B27:B28,B56,B58:B59,B61,B63,B109:B113,B135,B141,B147,B156,B158,B170,B177,B180:B181,B188,B190,B192,B196:B198,B200:B202,B207,B213:B214,B216:B218,B226,B231)</f>
        <v>124.3</v>
      </c>
      <c r="C108" s="118">
        <f t="shared" si="15"/>
        <v>121.74</v>
      </c>
      <c r="D108" s="118">
        <f t="shared" si="15"/>
        <v>107.74</v>
      </c>
      <c r="E108" s="118">
        <f t="shared" si="15"/>
        <v>110.94</v>
      </c>
      <c r="F108" s="118">
        <f t="shared" si="15"/>
        <v>125.13999999999999</v>
      </c>
      <c r="G108" s="118">
        <f t="shared" si="15"/>
        <v>141.54</v>
      </c>
      <c r="H108" s="118">
        <f t="shared" si="15"/>
        <v>171.44</v>
      </c>
      <c r="I108" s="118">
        <f t="shared" si="15"/>
        <v>202.44</v>
      </c>
      <c r="J108" s="118">
        <f t="shared" si="15"/>
        <v>214.04000000000002</v>
      </c>
      <c r="K108" s="118">
        <f t="shared" si="15"/>
        <v>224.73999999999998</v>
      </c>
      <c r="L108" s="118">
        <f t="shared" si="15"/>
        <v>248.83999999999997</v>
      </c>
      <c r="M108" s="118">
        <f t="shared" si="15"/>
        <v>246.94</v>
      </c>
      <c r="N108" s="118">
        <f t="shared" si="15"/>
        <v>258.04000000000002</v>
      </c>
      <c r="O108" s="118">
        <f t="shared" si="15"/>
        <v>246.34</v>
      </c>
      <c r="P108" s="118">
        <v>42</v>
      </c>
      <c r="Q108" s="118">
        <f t="shared" si="15"/>
        <v>204.60000000000002</v>
      </c>
      <c r="R108" s="118">
        <f t="shared" si="15"/>
        <v>176.8</v>
      </c>
      <c r="S108" s="118">
        <f t="shared" si="15"/>
        <v>180.70000000000002</v>
      </c>
      <c r="T108" s="118">
        <f t="shared" si="15"/>
        <v>185.70000000000002</v>
      </c>
      <c r="U108" s="118">
        <f t="shared" si="15"/>
        <v>186.70000000000002</v>
      </c>
      <c r="V108" s="118">
        <f t="shared" si="15"/>
        <v>186.70000000000002</v>
      </c>
      <c r="W108" s="118">
        <f t="shared" si="15"/>
        <v>186.70000000000002</v>
      </c>
      <c r="X108" s="118">
        <f t="shared" si="15"/>
        <v>222.89999999999998</v>
      </c>
      <c r="Y108" s="118">
        <f t="shared" si="15"/>
        <v>279.59999999999997</v>
      </c>
      <c r="Z108" s="118">
        <f t="shared" si="15"/>
        <v>297.5</v>
      </c>
      <c r="AA108" s="118">
        <f t="shared" si="15"/>
        <v>277.8</v>
      </c>
      <c r="AB108" s="118">
        <f t="shared" si="15"/>
        <v>238.9</v>
      </c>
      <c r="AC108" s="118">
        <f t="shared" si="15"/>
        <v>243.9</v>
      </c>
      <c r="AD108" s="118">
        <f t="shared" si="15"/>
        <v>243.9</v>
      </c>
      <c r="AE108" s="118">
        <f>SUM(AE18,AE24,AE27:AE28,AE56,AE58:AE59,AE61,AE63,AE109:AE113,AE135,AE141,AE147,AE156,AE158,AE170,AE177,AE180:AE181,AE188,AE190,AE192,AE196:AE198,AE200:AE202,AE207,AE213:AE214,AE216:AE218,AE226,AE231)</f>
        <v>184.9</v>
      </c>
      <c r="AF108" s="118">
        <f>SUM(AF18,AF24,AF27:AF28,AF56,AF58:AF59,AF61,AF63,AF109:AF113,AF135,AF141,AF147,AF156,AF158,AF170,AF177,AF180:AF181,AF188,AF190,AF192,AF196:AF198,AF200:AF202,AF207,AF213:AF214,AF216:AF218,AF226,AF231)</f>
        <v>133.9</v>
      </c>
      <c r="AG108" s="119"/>
      <c r="AH108" s="52">
        <f t="shared" si="8"/>
        <v>297.5</v>
      </c>
      <c r="AI108" s="53">
        <f t="shared" si="9"/>
        <v>42</v>
      </c>
    </row>
    <row r="109" spans="1:88" x14ac:dyDescent="0.25">
      <c r="A109" s="107" t="s">
        <v>117</v>
      </c>
      <c r="B109" s="120">
        <v>-2</v>
      </c>
      <c r="C109" s="120">
        <v>-5</v>
      </c>
      <c r="D109" s="120">
        <v>-17</v>
      </c>
      <c r="E109" s="120">
        <v>-25.5</v>
      </c>
      <c r="F109" s="120">
        <v>-27.3</v>
      </c>
      <c r="G109" s="120">
        <v>-26.4</v>
      </c>
      <c r="H109" s="120">
        <v>-16.899999999999999</v>
      </c>
      <c r="I109" s="120">
        <v>-8.5</v>
      </c>
      <c r="J109" s="120">
        <v>-9.1</v>
      </c>
      <c r="K109" s="120">
        <v>2</v>
      </c>
      <c r="L109" s="120">
        <v>1</v>
      </c>
      <c r="M109" s="120">
        <v>-2.2000000000000002</v>
      </c>
      <c r="N109" s="120">
        <v>-1.9</v>
      </c>
      <c r="O109" s="120">
        <v>-6.6</v>
      </c>
      <c r="P109" s="120">
        <v>1.8</v>
      </c>
      <c r="Q109" s="120">
        <v>1.9</v>
      </c>
      <c r="R109" s="120">
        <v>2.1</v>
      </c>
      <c r="S109" s="120">
        <v>2.9</v>
      </c>
      <c r="T109" s="120">
        <v>2.7</v>
      </c>
      <c r="U109" s="120">
        <v>2.7</v>
      </c>
      <c r="V109" s="120">
        <v>2.7</v>
      </c>
      <c r="W109" s="120">
        <v>2.7</v>
      </c>
      <c r="X109" s="120">
        <v>4.7</v>
      </c>
      <c r="Y109" s="120">
        <v>19.600000000000001</v>
      </c>
      <c r="Z109" s="120">
        <v>18.2</v>
      </c>
      <c r="AA109" s="120">
        <v>22.8</v>
      </c>
      <c r="AB109" s="120">
        <v>21</v>
      </c>
      <c r="AC109" s="120">
        <v>20</v>
      </c>
      <c r="AD109" s="120">
        <v>20</v>
      </c>
      <c r="AE109" s="120">
        <v>15</v>
      </c>
      <c r="AF109" s="120">
        <v>5</v>
      </c>
      <c r="AG109" s="121">
        <v>75</v>
      </c>
      <c r="AH109" s="52">
        <f t="shared" si="8"/>
        <v>22.8</v>
      </c>
      <c r="AI109" s="53">
        <f t="shared" si="9"/>
        <v>-27.3</v>
      </c>
    </row>
    <row r="110" spans="1:88" x14ac:dyDescent="0.25">
      <c r="A110" s="110" t="s">
        <v>118</v>
      </c>
      <c r="B110" s="122">
        <v>-5</v>
      </c>
      <c r="C110" s="122">
        <v>-6</v>
      </c>
      <c r="D110" s="122">
        <v>-15</v>
      </c>
      <c r="E110" s="122">
        <v>-33.4</v>
      </c>
      <c r="F110" s="122">
        <v>-33</v>
      </c>
      <c r="G110" s="122">
        <v>-34.1</v>
      </c>
      <c r="H110" s="122">
        <v>-18.2</v>
      </c>
      <c r="I110" s="122">
        <v>-11.5</v>
      </c>
      <c r="J110" s="122">
        <v>-12.8</v>
      </c>
      <c r="K110" s="122">
        <v>-1.7</v>
      </c>
      <c r="L110" s="122">
        <v>6.6</v>
      </c>
      <c r="M110" s="122">
        <v>-8.1</v>
      </c>
      <c r="N110" s="122">
        <v>-7.1</v>
      </c>
      <c r="O110" s="122">
        <v>-13.4</v>
      </c>
      <c r="P110" s="122">
        <v>2.2999999999999998</v>
      </c>
      <c r="Q110" s="122">
        <v>4.4000000000000004</v>
      </c>
      <c r="R110" s="122">
        <v>6.1</v>
      </c>
      <c r="S110" s="122">
        <v>2.7</v>
      </c>
      <c r="T110" s="122">
        <v>5.2</v>
      </c>
      <c r="U110" s="122">
        <v>5.2</v>
      </c>
      <c r="V110" s="122">
        <v>5.2</v>
      </c>
      <c r="W110" s="122">
        <v>5.2</v>
      </c>
      <c r="X110" s="122">
        <v>3.6</v>
      </c>
      <c r="Y110" s="122">
        <v>24.5</v>
      </c>
      <c r="Z110" s="122">
        <v>20.399999999999999</v>
      </c>
      <c r="AA110" s="122">
        <v>27.5</v>
      </c>
      <c r="AB110" s="122">
        <v>26.1</v>
      </c>
      <c r="AC110" s="122">
        <v>26</v>
      </c>
      <c r="AD110" s="122">
        <v>26</v>
      </c>
      <c r="AE110" s="122">
        <v>16</v>
      </c>
      <c r="AF110" s="122">
        <v>10</v>
      </c>
      <c r="AG110" s="121">
        <v>240</v>
      </c>
      <c r="AH110" s="52">
        <f t="shared" si="8"/>
        <v>27.5</v>
      </c>
      <c r="AI110" s="53">
        <f t="shared" si="9"/>
        <v>-34.1</v>
      </c>
    </row>
    <row r="111" spans="1:88" x14ac:dyDescent="0.25">
      <c r="A111" s="110" t="s">
        <v>119</v>
      </c>
      <c r="B111" s="122">
        <v>-50</v>
      </c>
      <c r="C111" s="122">
        <v>-50</v>
      </c>
      <c r="D111" s="122">
        <v>-50</v>
      </c>
      <c r="E111" s="122">
        <v>-35.799999999999997</v>
      </c>
      <c r="F111" s="122">
        <v>-24</v>
      </c>
      <c r="G111" s="122">
        <v>-16.600000000000001</v>
      </c>
      <c r="H111" s="122">
        <v>-11.4</v>
      </c>
      <c r="I111" s="122">
        <v>3.1</v>
      </c>
      <c r="J111" s="122">
        <v>9.6</v>
      </c>
      <c r="K111" s="122">
        <v>23.8</v>
      </c>
      <c r="L111" s="122">
        <v>24.8</v>
      </c>
      <c r="M111" s="122">
        <v>25.3</v>
      </c>
      <c r="N111" s="122">
        <f>13.1+11.3</f>
        <v>24.4</v>
      </c>
      <c r="O111" s="122">
        <v>21</v>
      </c>
      <c r="P111" s="122">
        <f>-2.4-7.3</f>
        <v>-9.6999999999999993</v>
      </c>
      <c r="Q111" s="122">
        <f>-5.5-11.2</f>
        <v>-16.7</v>
      </c>
      <c r="R111" s="122">
        <f>-9-14.8</f>
        <v>-23.8</v>
      </c>
      <c r="S111" s="122">
        <v>-17</v>
      </c>
      <c r="T111" s="122">
        <v>-21</v>
      </c>
      <c r="U111" s="122">
        <v>-21</v>
      </c>
      <c r="V111" s="122">
        <v>-21</v>
      </c>
      <c r="W111" s="122">
        <v>-21</v>
      </c>
      <c r="X111" s="122">
        <v>9</v>
      </c>
      <c r="Y111" s="122">
        <v>17.2</v>
      </c>
      <c r="Z111" s="122">
        <v>25.2</v>
      </c>
      <c r="AA111" s="122">
        <v>16.899999999999999</v>
      </c>
      <c r="AB111" s="122">
        <v>-17.899999999999999</v>
      </c>
      <c r="AC111" s="122">
        <v>-10</v>
      </c>
      <c r="AD111" s="122">
        <v>-10</v>
      </c>
      <c r="AE111" s="122">
        <v>-30</v>
      </c>
      <c r="AF111" s="122">
        <v>-52</v>
      </c>
      <c r="AG111" s="121">
        <v>240</v>
      </c>
      <c r="AH111" s="52">
        <f t="shared" si="8"/>
        <v>25.3</v>
      </c>
      <c r="AI111" s="53">
        <f t="shared" si="9"/>
        <v>-52</v>
      </c>
    </row>
    <row r="112" spans="1:88" x14ac:dyDescent="0.25">
      <c r="A112" s="110" t="s">
        <v>120</v>
      </c>
      <c r="B112" s="122">
        <v>31</v>
      </c>
      <c r="C112" s="122">
        <v>26</v>
      </c>
      <c r="D112" s="122">
        <v>28</v>
      </c>
      <c r="E112" s="122">
        <v>31.4</v>
      </c>
      <c r="F112" s="122">
        <v>28.8</v>
      </c>
      <c r="G112" s="122">
        <v>31.5</v>
      </c>
      <c r="H112" s="122">
        <v>33.700000000000003</v>
      </c>
      <c r="I112" s="122">
        <v>36.799999999999997</v>
      </c>
      <c r="J112" s="122">
        <v>38.200000000000003</v>
      </c>
      <c r="K112" s="122">
        <v>32.9</v>
      </c>
      <c r="L112" s="122">
        <v>39.799999999999997</v>
      </c>
      <c r="M112" s="122">
        <v>33</v>
      </c>
      <c r="N112" s="122">
        <v>28.3</v>
      </c>
      <c r="O112" s="122">
        <v>28.3</v>
      </c>
      <c r="P112" s="122">
        <v>24.9</v>
      </c>
      <c r="Q112" s="122">
        <v>21.7</v>
      </c>
      <c r="R112" s="122">
        <v>22</v>
      </c>
      <c r="S112" s="122">
        <v>20.100000000000001</v>
      </c>
      <c r="T112" s="122">
        <v>21.4</v>
      </c>
      <c r="U112" s="122">
        <v>21.4</v>
      </c>
      <c r="V112" s="122">
        <v>21.4</v>
      </c>
      <c r="W112" s="122">
        <v>21.4</v>
      </c>
      <c r="X112" s="122">
        <v>23.4</v>
      </c>
      <c r="Y112" s="122">
        <v>29.5</v>
      </c>
      <c r="Z112" s="122">
        <v>48.2</v>
      </c>
      <c r="AA112" s="122">
        <v>43.1</v>
      </c>
      <c r="AB112" s="122">
        <v>26.8</v>
      </c>
      <c r="AC112" s="122">
        <v>26</v>
      </c>
      <c r="AD112" s="122">
        <v>26</v>
      </c>
      <c r="AE112" s="122">
        <v>22</v>
      </c>
      <c r="AF112" s="122">
        <v>19</v>
      </c>
      <c r="AG112" s="121">
        <v>60</v>
      </c>
      <c r="AH112" s="52">
        <f t="shared" si="8"/>
        <v>48.2</v>
      </c>
      <c r="AI112" s="53">
        <f t="shared" si="9"/>
        <v>19</v>
      </c>
    </row>
    <row r="113" spans="1:37" x14ac:dyDescent="0.25">
      <c r="A113" s="123" t="s">
        <v>121</v>
      </c>
      <c r="B113" s="124">
        <v>67.5</v>
      </c>
      <c r="C113" s="124">
        <v>73</v>
      </c>
      <c r="D113" s="124">
        <v>79</v>
      </c>
      <c r="E113" s="124">
        <v>91.5</v>
      </c>
      <c r="F113" s="124">
        <v>96.1</v>
      </c>
      <c r="G113" s="124">
        <v>102.6</v>
      </c>
      <c r="H113" s="124">
        <v>99.7</v>
      </c>
      <c r="I113" s="124">
        <v>98</v>
      </c>
      <c r="J113" s="124">
        <v>102.5</v>
      </c>
      <c r="K113" s="124">
        <v>82.1</v>
      </c>
      <c r="L113" s="124">
        <v>91</v>
      </c>
      <c r="M113" s="124">
        <v>106.7</v>
      </c>
      <c r="N113" s="124">
        <v>115.3</v>
      </c>
      <c r="O113" s="124">
        <v>113.9</v>
      </c>
      <c r="P113" s="124">
        <v>100.9</v>
      </c>
      <c r="Q113" s="124">
        <v>94.1</v>
      </c>
      <c r="R113" s="124">
        <v>83</v>
      </c>
      <c r="S113" s="124">
        <v>84.6</v>
      </c>
      <c r="T113" s="124">
        <v>90</v>
      </c>
      <c r="U113" s="124">
        <v>90</v>
      </c>
      <c r="V113" s="124">
        <v>90</v>
      </c>
      <c r="W113" s="124">
        <v>90</v>
      </c>
      <c r="X113" s="124">
        <v>92.7</v>
      </c>
      <c r="Y113" s="124">
        <v>99.3</v>
      </c>
      <c r="Z113" s="124">
        <v>96</v>
      </c>
      <c r="AA113" s="124">
        <v>86.3</v>
      </c>
      <c r="AB113" s="124">
        <v>101</v>
      </c>
      <c r="AC113" s="124">
        <v>100</v>
      </c>
      <c r="AD113" s="124">
        <v>100</v>
      </c>
      <c r="AE113" s="124">
        <v>80</v>
      </c>
      <c r="AF113" s="124">
        <v>70</v>
      </c>
      <c r="AG113" s="125">
        <v>120</v>
      </c>
      <c r="AH113" s="52">
        <f t="shared" si="8"/>
        <v>115.3</v>
      </c>
      <c r="AI113" s="53">
        <f t="shared" si="9"/>
        <v>67.5</v>
      </c>
    </row>
    <row r="114" spans="1:37" x14ac:dyDescent="0.25">
      <c r="A114" s="123" t="s">
        <v>122</v>
      </c>
      <c r="B114" s="124">
        <v>75</v>
      </c>
      <c r="C114" s="124">
        <v>81</v>
      </c>
      <c r="D114" s="124">
        <v>90</v>
      </c>
      <c r="E114" s="124">
        <v>101.1</v>
      </c>
      <c r="F114" s="124">
        <v>99.9</v>
      </c>
      <c r="G114" s="124">
        <v>107.4</v>
      </c>
      <c r="H114" s="124">
        <v>98.8</v>
      </c>
      <c r="I114" s="124">
        <v>90.9</v>
      </c>
      <c r="J114" s="124">
        <v>98.4</v>
      </c>
      <c r="K114" s="124">
        <v>72.2</v>
      </c>
      <c r="L114" s="124">
        <v>82.3</v>
      </c>
      <c r="M114" s="124">
        <v>99.7</v>
      </c>
      <c r="N114" s="124">
        <v>108.1</v>
      </c>
      <c r="O114" s="124">
        <v>105.4</v>
      </c>
      <c r="P114" s="124">
        <v>105.9</v>
      </c>
      <c r="Q114" s="124">
        <v>101.5</v>
      </c>
      <c r="R114" s="124">
        <v>95.5</v>
      </c>
      <c r="S114" s="124">
        <v>90.4</v>
      </c>
      <c r="T114" s="124">
        <v>99.3</v>
      </c>
      <c r="U114" s="124">
        <v>99.3</v>
      </c>
      <c r="V114" s="124">
        <v>99.3</v>
      </c>
      <c r="W114" s="124">
        <v>99.3</v>
      </c>
      <c r="X114" s="124">
        <v>88.2</v>
      </c>
      <c r="Y114" s="124">
        <v>82.4</v>
      </c>
      <c r="Z114" s="124">
        <v>76.5</v>
      </c>
      <c r="AA114" s="124">
        <v>66.7</v>
      </c>
      <c r="AB114" s="124">
        <v>88.7</v>
      </c>
      <c r="AC114" s="124">
        <v>89</v>
      </c>
      <c r="AD114" s="124">
        <v>89</v>
      </c>
      <c r="AE114" s="124">
        <v>82</v>
      </c>
      <c r="AF114" s="124">
        <v>78</v>
      </c>
      <c r="AG114" s="125"/>
      <c r="AH114" s="52">
        <f t="shared" si="8"/>
        <v>108.1</v>
      </c>
      <c r="AI114" s="53">
        <f t="shared" si="9"/>
        <v>66.7</v>
      </c>
    </row>
    <row r="115" spans="1:37" x14ac:dyDescent="0.25">
      <c r="A115" s="123" t="s">
        <v>123</v>
      </c>
      <c r="B115" s="124">
        <v>82</v>
      </c>
      <c r="C115" s="124">
        <v>80</v>
      </c>
      <c r="D115" s="124">
        <v>91</v>
      </c>
      <c r="E115" s="124">
        <v>56</v>
      </c>
      <c r="F115" s="124">
        <v>52.8</v>
      </c>
      <c r="G115" s="124">
        <v>58.8</v>
      </c>
      <c r="H115" s="124">
        <v>56.3</v>
      </c>
      <c r="I115" s="124">
        <v>49.2</v>
      </c>
      <c r="J115" s="124">
        <v>44.3</v>
      </c>
      <c r="K115" s="124">
        <v>35.9</v>
      </c>
      <c r="L115" s="124">
        <v>38.700000000000003</v>
      </c>
      <c r="M115" s="124">
        <v>43.5</v>
      </c>
      <c r="N115" s="124">
        <v>44.6</v>
      </c>
      <c r="O115" s="124">
        <v>50.5</v>
      </c>
      <c r="P115" s="124">
        <v>46.4</v>
      </c>
      <c r="Q115" s="124">
        <v>44.6</v>
      </c>
      <c r="R115" s="124">
        <v>38</v>
      </c>
      <c r="S115" s="124">
        <v>43.4</v>
      </c>
      <c r="T115" s="124">
        <v>39.700000000000003</v>
      </c>
      <c r="U115" s="124">
        <v>39.700000000000003</v>
      </c>
      <c r="V115" s="124">
        <v>39.700000000000003</v>
      </c>
      <c r="W115" s="124">
        <v>39.700000000000003</v>
      </c>
      <c r="X115" s="124">
        <v>26</v>
      </c>
      <c r="Y115" s="124">
        <v>21.3</v>
      </c>
      <c r="Z115" s="124">
        <v>37.5</v>
      </c>
      <c r="AA115" s="124">
        <v>28.2</v>
      </c>
      <c r="AB115" s="124">
        <v>30.9</v>
      </c>
      <c r="AC115" s="124">
        <v>42</v>
      </c>
      <c r="AD115" s="124">
        <v>42</v>
      </c>
      <c r="AE115" s="124">
        <v>60</v>
      </c>
      <c r="AF115" s="124">
        <v>85</v>
      </c>
      <c r="AG115" s="126"/>
      <c r="AH115" s="52">
        <f t="shared" si="8"/>
        <v>91</v>
      </c>
      <c r="AI115" s="53">
        <f t="shared" si="9"/>
        <v>21.3</v>
      </c>
    </row>
    <row r="116" spans="1:37" x14ac:dyDescent="0.25">
      <c r="A116" s="127" t="s">
        <v>124</v>
      </c>
      <c r="B116" s="113">
        <v>-14</v>
      </c>
      <c r="C116" s="113">
        <v>-10</v>
      </c>
      <c r="D116" s="113">
        <v>-10</v>
      </c>
      <c r="E116" s="113">
        <v>-19.7</v>
      </c>
      <c r="F116" s="113">
        <v>-18.7</v>
      </c>
      <c r="G116" s="113">
        <v>-17.399999999999999</v>
      </c>
      <c r="H116" s="113">
        <v>-18.5</v>
      </c>
      <c r="I116" s="113">
        <v>-22.8</v>
      </c>
      <c r="J116" s="113">
        <v>-26.5</v>
      </c>
      <c r="K116" s="113">
        <v>-28.3</v>
      </c>
      <c r="L116" s="113">
        <v>-32.799999999999997</v>
      </c>
      <c r="M116" s="113">
        <v>-32.4</v>
      </c>
      <c r="N116" s="113">
        <v>-16.5</v>
      </c>
      <c r="O116" s="113">
        <v>-31</v>
      </c>
      <c r="P116" s="113">
        <v>-15</v>
      </c>
      <c r="Q116" s="113">
        <v>-15</v>
      </c>
      <c r="R116" s="113">
        <v>-14.2</v>
      </c>
      <c r="S116" s="113">
        <v>-30.1</v>
      </c>
      <c r="T116" s="113">
        <v>-25.8</v>
      </c>
      <c r="U116" s="113">
        <v>-25.8</v>
      </c>
      <c r="V116" s="113">
        <v>-25.8</v>
      </c>
      <c r="W116" s="113">
        <v>-25.8</v>
      </c>
      <c r="X116" s="113">
        <v>-40.5</v>
      </c>
      <c r="Y116" s="113">
        <v>-51</v>
      </c>
      <c r="Z116" s="113">
        <v>-49.3</v>
      </c>
      <c r="AA116" s="113">
        <v>-47.1</v>
      </c>
      <c r="AB116" s="113">
        <v>-48.3</v>
      </c>
      <c r="AC116" s="113">
        <v>-20</v>
      </c>
      <c r="AD116" s="113">
        <v>-20</v>
      </c>
      <c r="AE116" s="113">
        <v>-15</v>
      </c>
      <c r="AF116" s="113">
        <v>-12</v>
      </c>
      <c r="AG116" s="126"/>
      <c r="AH116" s="52">
        <f t="shared" si="8"/>
        <v>-10</v>
      </c>
      <c r="AI116" s="53">
        <f t="shared" si="9"/>
        <v>-51</v>
      </c>
    </row>
    <row r="117" spans="1:37" ht="15.75" thickBot="1" x14ac:dyDescent="0.3">
      <c r="A117" s="127" t="s">
        <v>125</v>
      </c>
      <c r="B117" s="113">
        <v>111</v>
      </c>
      <c r="C117" s="113">
        <v>111</v>
      </c>
      <c r="D117" s="113">
        <v>113</v>
      </c>
      <c r="E117" s="113">
        <v>99.5</v>
      </c>
      <c r="F117" s="113">
        <v>99</v>
      </c>
      <c r="G117" s="113">
        <v>93.2</v>
      </c>
      <c r="H117" s="113">
        <v>88</v>
      </c>
      <c r="I117" s="113">
        <v>79.3</v>
      </c>
      <c r="J117" s="113">
        <v>76.900000000000006</v>
      </c>
      <c r="K117" s="113">
        <v>70.400000000000006</v>
      </c>
      <c r="L117" s="113">
        <v>72.599999999999994</v>
      </c>
      <c r="M117" s="113">
        <v>77</v>
      </c>
      <c r="N117" s="113">
        <v>84</v>
      </c>
      <c r="O117" s="113">
        <v>85</v>
      </c>
      <c r="P117" s="113">
        <v>84.7</v>
      </c>
      <c r="Q117" s="113">
        <v>84.9</v>
      </c>
      <c r="R117" s="113">
        <v>84.3</v>
      </c>
      <c r="S117" s="113">
        <v>84.7</v>
      </c>
      <c r="T117" s="113">
        <v>79.400000000000006</v>
      </c>
      <c r="U117" s="113">
        <v>79.400000000000006</v>
      </c>
      <c r="V117" s="113">
        <v>79.400000000000006</v>
      </c>
      <c r="W117" s="113">
        <v>79.400000000000006</v>
      </c>
      <c r="X117" s="113">
        <v>85.2</v>
      </c>
      <c r="Y117" s="113">
        <v>114</v>
      </c>
      <c r="Z117" s="113">
        <v>109.2</v>
      </c>
      <c r="AA117" s="113">
        <v>106.6</v>
      </c>
      <c r="AB117" s="113">
        <v>104.9</v>
      </c>
      <c r="AC117" s="113">
        <v>103</v>
      </c>
      <c r="AD117" s="113">
        <v>103</v>
      </c>
      <c r="AE117" s="113">
        <v>100</v>
      </c>
      <c r="AF117" s="113">
        <v>93</v>
      </c>
      <c r="AG117" s="126"/>
      <c r="AH117" s="52">
        <f t="shared" si="8"/>
        <v>114</v>
      </c>
      <c r="AI117" s="53">
        <f t="shared" si="9"/>
        <v>70.400000000000006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16">SUM(B119:B223)</f>
        <v>0</v>
      </c>
      <c r="C224" s="144">
        <f t="shared" si="16"/>
        <v>0</v>
      </c>
      <c r="D224" s="144">
        <f t="shared" si="16"/>
        <v>0</v>
      </c>
      <c r="E224" s="144">
        <f t="shared" si="16"/>
        <v>0</v>
      </c>
      <c r="F224" s="144">
        <f t="shared" si="16"/>
        <v>0</v>
      </c>
      <c r="G224" s="144">
        <f t="shared" si="16"/>
        <v>0</v>
      </c>
      <c r="H224" s="144">
        <f t="shared" si="16"/>
        <v>0</v>
      </c>
      <c r="I224" s="144">
        <f t="shared" si="16"/>
        <v>0</v>
      </c>
      <c r="J224" s="144">
        <f t="shared" si="16"/>
        <v>0</v>
      </c>
      <c r="K224" s="144">
        <f t="shared" si="16"/>
        <v>0</v>
      </c>
      <c r="L224" s="144">
        <f t="shared" si="16"/>
        <v>0</v>
      </c>
      <c r="M224" s="144">
        <f t="shared" si="16"/>
        <v>0</v>
      </c>
      <c r="N224" s="144">
        <f t="shared" si="16"/>
        <v>0</v>
      </c>
      <c r="O224" s="144">
        <f t="shared" si="16"/>
        <v>0</v>
      </c>
      <c r="P224" s="144">
        <f t="shared" si="16"/>
        <v>0</v>
      </c>
      <c r="Q224" s="144">
        <f t="shared" si="16"/>
        <v>0</v>
      </c>
      <c r="R224" s="144">
        <f t="shared" si="16"/>
        <v>0</v>
      </c>
      <c r="S224" s="144">
        <f t="shared" si="16"/>
        <v>0</v>
      </c>
      <c r="T224" s="144">
        <f t="shared" si="16"/>
        <v>0</v>
      </c>
      <c r="U224" s="144">
        <f t="shared" si="16"/>
        <v>0</v>
      </c>
      <c r="V224" s="144">
        <f t="shared" si="16"/>
        <v>0</v>
      </c>
      <c r="W224" s="144">
        <f t="shared" si="16"/>
        <v>0</v>
      </c>
      <c r="X224" s="144">
        <f t="shared" si="16"/>
        <v>0</v>
      </c>
      <c r="Y224" s="144">
        <f t="shared" si="16"/>
        <v>0</v>
      </c>
      <c r="Z224" s="144">
        <f t="shared" si="16"/>
        <v>0</v>
      </c>
      <c r="AA224" s="144">
        <f t="shared" si="16"/>
        <v>0</v>
      </c>
      <c r="AB224" s="144">
        <f t="shared" si="16"/>
        <v>0</v>
      </c>
      <c r="AC224" s="144">
        <f t="shared" si="16"/>
        <v>0</v>
      </c>
      <c r="AD224" s="144">
        <f t="shared" si="16"/>
        <v>0</v>
      </c>
      <c r="AE224" s="144">
        <f t="shared" si="16"/>
        <v>0</v>
      </c>
      <c r="AF224" s="145">
        <f t="shared" si="16"/>
        <v>0</v>
      </c>
      <c r="AG224" s="146">
        <f t="shared" si="16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17">AF226</f>
        <v>0</v>
      </c>
      <c r="C226" s="149">
        <v>0.3</v>
      </c>
      <c r="D226" s="149">
        <f t="shared" ref="D226:P231" si="18">C226</f>
        <v>0.3</v>
      </c>
      <c r="E226" s="149">
        <f t="shared" si="18"/>
        <v>0.3</v>
      </c>
      <c r="F226" s="149">
        <f t="shared" si="18"/>
        <v>0.3</v>
      </c>
      <c r="G226" s="149">
        <f t="shared" si="18"/>
        <v>0.3</v>
      </c>
      <c r="H226" s="149">
        <f t="shared" si="18"/>
        <v>0.3</v>
      </c>
      <c r="I226" s="149">
        <f t="shared" si="18"/>
        <v>0.3</v>
      </c>
      <c r="J226" s="149">
        <f t="shared" si="18"/>
        <v>0.3</v>
      </c>
      <c r="K226" s="149">
        <f t="shared" si="18"/>
        <v>0.3</v>
      </c>
      <c r="L226" s="149">
        <f t="shared" si="18"/>
        <v>0.3</v>
      </c>
      <c r="M226" s="149">
        <f t="shared" si="18"/>
        <v>0.3</v>
      </c>
      <c r="N226" s="149">
        <f t="shared" si="18"/>
        <v>0.3</v>
      </c>
      <c r="O226" s="149">
        <f t="shared" si="18"/>
        <v>0.3</v>
      </c>
      <c r="P226" s="149">
        <f t="shared" si="18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17"/>
        <v>0</v>
      </c>
      <c r="C227" s="136">
        <v>0.4</v>
      </c>
      <c r="D227" s="136">
        <f t="shared" si="18"/>
        <v>0.4</v>
      </c>
      <c r="E227" s="136">
        <f t="shared" si="18"/>
        <v>0.4</v>
      </c>
      <c r="F227" s="136">
        <f t="shared" si="18"/>
        <v>0.4</v>
      </c>
      <c r="G227" s="136">
        <f t="shared" si="18"/>
        <v>0.4</v>
      </c>
      <c r="H227" s="136">
        <f t="shared" si="18"/>
        <v>0.4</v>
      </c>
      <c r="I227" s="136">
        <f t="shared" si="18"/>
        <v>0.4</v>
      </c>
      <c r="J227" s="136">
        <f t="shared" si="18"/>
        <v>0.4</v>
      </c>
      <c r="K227" s="136">
        <f t="shared" si="18"/>
        <v>0.4</v>
      </c>
      <c r="L227" s="136">
        <f t="shared" si="18"/>
        <v>0.4</v>
      </c>
      <c r="M227" s="136">
        <f t="shared" si="18"/>
        <v>0.4</v>
      </c>
      <c r="N227" s="136">
        <f t="shared" si="18"/>
        <v>0.4</v>
      </c>
      <c r="O227" s="136">
        <f t="shared" si="18"/>
        <v>0.4</v>
      </c>
      <c r="P227" s="136">
        <f t="shared" si="18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17"/>
        <v>0</v>
      </c>
      <c r="C228" s="136">
        <v>1.5</v>
      </c>
      <c r="D228" s="136">
        <f t="shared" si="18"/>
        <v>1.5</v>
      </c>
      <c r="E228" s="136">
        <f t="shared" si="18"/>
        <v>1.5</v>
      </c>
      <c r="F228" s="136">
        <f t="shared" si="18"/>
        <v>1.5</v>
      </c>
      <c r="G228" s="136">
        <f t="shared" si="18"/>
        <v>1.5</v>
      </c>
      <c r="H228" s="136">
        <f t="shared" si="18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18"/>
        <v>1.5</v>
      </c>
      <c r="K228" s="136">
        <f t="shared" ca="1" si="18"/>
        <v>1.5</v>
      </c>
      <c r="L228" s="136">
        <f t="shared" ca="1" si="18"/>
        <v>1.5</v>
      </c>
      <c r="M228" s="136">
        <f t="shared" ca="1" si="18"/>
        <v>1.5</v>
      </c>
      <c r="N228" s="136">
        <f t="shared" ca="1" si="18"/>
        <v>1.5</v>
      </c>
      <c r="O228" s="136">
        <f t="shared" ca="1" si="18"/>
        <v>1.5</v>
      </c>
      <c r="P228" s="136">
        <f t="shared" ca="1" si="18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17"/>
        <v>0</v>
      </c>
      <c r="C229" s="136">
        <v>0.3</v>
      </c>
      <c r="D229" s="136">
        <f t="shared" si="18"/>
        <v>0.3</v>
      </c>
      <c r="E229" s="136">
        <f t="shared" si="18"/>
        <v>0.3</v>
      </c>
      <c r="F229" s="136">
        <f t="shared" si="18"/>
        <v>0.3</v>
      </c>
      <c r="G229" s="136">
        <f t="shared" si="18"/>
        <v>0.3</v>
      </c>
      <c r="H229" s="136">
        <f t="shared" si="18"/>
        <v>0.3</v>
      </c>
      <c r="I229" s="136">
        <f t="shared" si="18"/>
        <v>0.3</v>
      </c>
      <c r="J229" s="136">
        <f t="shared" si="18"/>
        <v>0.3</v>
      </c>
      <c r="K229" s="136">
        <f t="shared" si="18"/>
        <v>0.3</v>
      </c>
      <c r="L229" s="136">
        <f t="shared" si="18"/>
        <v>0.3</v>
      </c>
      <c r="M229" s="136">
        <f t="shared" si="18"/>
        <v>0.3</v>
      </c>
      <c r="N229" s="136">
        <f t="shared" si="18"/>
        <v>0.3</v>
      </c>
      <c r="O229" s="136">
        <f t="shared" si="18"/>
        <v>0.3</v>
      </c>
      <c r="P229" s="136">
        <f t="shared" si="18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17"/>
        <v>0</v>
      </c>
      <c r="C230" s="136">
        <v>0.4</v>
      </c>
      <c r="D230" s="136">
        <f t="shared" si="18"/>
        <v>0.4</v>
      </c>
      <c r="E230" s="136">
        <f t="shared" si="18"/>
        <v>0.4</v>
      </c>
      <c r="F230" s="136">
        <f t="shared" si="18"/>
        <v>0.4</v>
      </c>
      <c r="G230" s="136">
        <f t="shared" si="18"/>
        <v>0.4</v>
      </c>
      <c r="H230" s="136">
        <f t="shared" si="18"/>
        <v>0.4</v>
      </c>
      <c r="I230" s="136">
        <f t="shared" si="18"/>
        <v>0.4</v>
      </c>
      <c r="J230" s="136">
        <f t="shared" si="18"/>
        <v>0.4</v>
      </c>
      <c r="K230" s="136">
        <f t="shared" si="18"/>
        <v>0.4</v>
      </c>
      <c r="L230" s="136">
        <f t="shared" si="18"/>
        <v>0.4</v>
      </c>
      <c r="M230" s="136">
        <f t="shared" si="18"/>
        <v>0.4</v>
      </c>
      <c r="N230" s="136">
        <f t="shared" si="18"/>
        <v>0.4</v>
      </c>
      <c r="O230" s="136">
        <f t="shared" si="18"/>
        <v>0.4</v>
      </c>
      <c r="P230" s="136">
        <f t="shared" si="18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17"/>
        <v>0</v>
      </c>
      <c r="C231" s="140">
        <v>0.64</v>
      </c>
      <c r="D231" s="140">
        <f t="shared" si="18"/>
        <v>0.64</v>
      </c>
      <c r="E231" s="140">
        <f t="shared" si="18"/>
        <v>0.64</v>
      </c>
      <c r="F231" s="140">
        <f t="shared" si="18"/>
        <v>0.64</v>
      </c>
      <c r="G231" s="140">
        <f t="shared" si="18"/>
        <v>0.64</v>
      </c>
      <c r="H231" s="140">
        <f t="shared" si="18"/>
        <v>0.64</v>
      </c>
      <c r="I231" s="140">
        <f t="shared" si="18"/>
        <v>0.64</v>
      </c>
      <c r="J231" s="140">
        <f t="shared" si="18"/>
        <v>0.64</v>
      </c>
      <c r="K231" s="140">
        <f t="shared" si="18"/>
        <v>0.64</v>
      </c>
      <c r="L231" s="140">
        <f t="shared" si="18"/>
        <v>0.64</v>
      </c>
      <c r="M231" s="140">
        <f t="shared" si="18"/>
        <v>0.64</v>
      </c>
      <c r="N231" s="140">
        <f t="shared" si="18"/>
        <v>0.64</v>
      </c>
      <c r="O231" s="140">
        <f t="shared" si="18"/>
        <v>0.64</v>
      </c>
      <c r="P231" s="140">
        <f t="shared" si="18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19">SUM(B226:B231)</f>
        <v>0</v>
      </c>
      <c r="C232" s="144">
        <f t="shared" si="19"/>
        <v>3.54</v>
      </c>
      <c r="D232" s="144">
        <f t="shared" si="19"/>
        <v>3.54</v>
      </c>
      <c r="E232" s="144">
        <f t="shared" si="19"/>
        <v>3.54</v>
      </c>
      <c r="F232" s="144">
        <f t="shared" si="19"/>
        <v>3.54</v>
      </c>
      <c r="G232" s="144">
        <f t="shared" si="19"/>
        <v>3.54</v>
      </c>
      <c r="H232" s="144">
        <f t="shared" si="19"/>
        <v>3.54</v>
      </c>
      <c r="I232" s="144">
        <f t="shared" ca="1" si="19"/>
        <v>3.54</v>
      </c>
      <c r="J232" s="144">
        <f t="shared" ca="1" si="19"/>
        <v>3.54</v>
      </c>
      <c r="K232" s="144">
        <f t="shared" ca="1" si="19"/>
        <v>3.54</v>
      </c>
      <c r="L232" s="144">
        <f t="shared" ca="1" si="19"/>
        <v>3.54</v>
      </c>
      <c r="M232" s="144">
        <f t="shared" ca="1" si="19"/>
        <v>3.54</v>
      </c>
      <c r="N232" s="144">
        <f t="shared" ca="1" si="19"/>
        <v>3.54</v>
      </c>
      <c r="O232" s="144">
        <f t="shared" ca="1" si="19"/>
        <v>3.54</v>
      </c>
      <c r="P232" s="144">
        <f t="shared" ca="1" si="19"/>
        <v>3.54</v>
      </c>
      <c r="Q232" s="144">
        <f t="shared" si="19"/>
        <v>0</v>
      </c>
      <c r="R232" s="144">
        <f t="shared" si="19"/>
        <v>0</v>
      </c>
      <c r="S232" s="144">
        <f t="shared" si="19"/>
        <v>0</v>
      </c>
      <c r="T232" s="144">
        <f t="shared" si="19"/>
        <v>0</v>
      </c>
      <c r="U232" s="144">
        <f t="shared" si="19"/>
        <v>0</v>
      </c>
      <c r="V232" s="144">
        <f t="shared" si="19"/>
        <v>0</v>
      </c>
      <c r="W232" s="144">
        <f t="shared" si="19"/>
        <v>0</v>
      </c>
      <c r="X232" s="144">
        <f t="shared" si="19"/>
        <v>0</v>
      </c>
      <c r="Y232" s="144">
        <f t="shared" si="19"/>
        <v>0</v>
      </c>
      <c r="Z232" s="144">
        <f t="shared" si="19"/>
        <v>0</v>
      </c>
      <c r="AA232" s="144">
        <f t="shared" si="19"/>
        <v>0</v>
      </c>
      <c r="AB232" s="144">
        <f t="shared" si="19"/>
        <v>0</v>
      </c>
      <c r="AC232" s="144">
        <f t="shared" si="19"/>
        <v>0</v>
      </c>
      <c r="AD232" s="144">
        <f t="shared" si="19"/>
        <v>0</v>
      </c>
      <c r="AE232" s="144">
        <f t="shared" si="19"/>
        <v>0</v>
      </c>
      <c r="AF232" s="144">
        <f t="shared" si="19"/>
        <v>0</v>
      </c>
      <c r="AG232" s="154">
        <f t="shared" si="19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1315.84</v>
      </c>
      <c r="C241" s="170">
        <f>INDEX(G9:N9,1,MATCH(MAX(G89:N89),G89:N89,0))</f>
        <v>0.375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1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2079/12/1)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2079/12/1)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20">B89</f>
        <v>1324.3400000000001</v>
      </c>
      <c r="U246" s="180">
        <f t="shared" si="20"/>
        <v>1210.1400000000001</v>
      </c>
      <c r="V246" s="180">
        <f t="shared" si="20"/>
        <v>1225.3400000000001</v>
      </c>
      <c r="W246" s="180">
        <f t="shared" si="20"/>
        <v>1189.6399999999999</v>
      </c>
      <c r="X246" s="180">
        <f t="shared" si="20"/>
        <v>1143.04</v>
      </c>
      <c r="Y246" s="180">
        <f t="shared" si="20"/>
        <v>1157.6399999999999</v>
      </c>
      <c r="Z246" s="180">
        <f t="shared" si="20"/>
        <v>1205.04</v>
      </c>
      <c r="AA246" s="180">
        <f t="shared" si="20"/>
        <v>1141.74</v>
      </c>
      <c r="AB246" s="180">
        <f t="shared" si="20"/>
        <v>1141.94</v>
      </c>
      <c r="AC246" s="180">
        <f t="shared" si="20"/>
        <v>1055.54</v>
      </c>
      <c r="AD246" s="180">
        <f t="shared" si="20"/>
        <v>1175.24</v>
      </c>
      <c r="AE246" s="180">
        <f t="shared" si="20"/>
        <v>1300.3399999999999</v>
      </c>
      <c r="AF246" s="180">
        <f t="shared" si="20"/>
        <v>1315.84</v>
      </c>
      <c r="AG246" s="180">
        <f t="shared" si="20"/>
        <v>1286.9399999999998</v>
      </c>
      <c r="AH246" s="180">
        <f t="shared" si="20"/>
        <v>1257.3400000000001</v>
      </c>
      <c r="AI246" s="180">
        <f t="shared" si="20"/>
        <v>1242.29</v>
      </c>
      <c r="AJ246" s="180">
        <f t="shared" si="20"/>
        <v>1194.74</v>
      </c>
      <c r="AK246" s="180">
        <f t="shared" si="20"/>
        <v>1228.8399999999999</v>
      </c>
      <c r="AL246" s="180">
        <f t="shared" si="20"/>
        <v>1246.7599999999998</v>
      </c>
      <c r="AM246" s="180">
        <f t="shared" si="20"/>
        <v>1229.6399999999999</v>
      </c>
      <c r="AN246" s="180">
        <f t="shared" si="20"/>
        <v>1220.3399999999999</v>
      </c>
      <c r="AO246" s="180">
        <f t="shared" si="20"/>
        <v>1203.04</v>
      </c>
      <c r="AP246" s="180">
        <f t="shared" si="20"/>
        <v>1203.6199999999999</v>
      </c>
      <c r="AQ246" s="180">
        <f t="shared" si="20"/>
        <v>1321.8400000000001</v>
      </c>
      <c r="AR246" s="180">
        <f t="shared" si="20"/>
        <v>1578.54</v>
      </c>
      <c r="AS246" s="180">
        <f t="shared" si="20"/>
        <v>1538.04</v>
      </c>
      <c r="AT246" s="180">
        <f t="shared" si="20"/>
        <v>1579.2399999999998</v>
      </c>
      <c r="AU246" s="180">
        <f t="shared" si="20"/>
        <v>1453.04</v>
      </c>
      <c r="AV246" s="180">
        <f t="shared" si="20"/>
        <v>1304.04</v>
      </c>
      <c r="AW246" s="180">
        <f t="shared" si="20"/>
        <v>1297.1399999999999</v>
      </c>
      <c r="AX246" s="180">
        <f t="shared" si="20"/>
        <v>1287.1399999999999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21">C231</f>
        <v>0.64</v>
      </c>
      <c r="C267" s="183">
        <f t="shared" si="21"/>
        <v>0.64</v>
      </c>
      <c r="D267" s="183">
        <f t="shared" si="21"/>
        <v>0.64</v>
      </c>
      <c r="E267" s="183">
        <f t="shared" si="21"/>
        <v>0.64</v>
      </c>
      <c r="F267" s="183">
        <f t="shared" si="21"/>
        <v>0.64</v>
      </c>
      <c r="G267" s="183">
        <f t="shared" si="21"/>
        <v>0.64</v>
      </c>
      <c r="H267" s="183">
        <f t="shared" si="21"/>
        <v>0.64</v>
      </c>
      <c r="I267" s="183">
        <f t="shared" si="21"/>
        <v>0.64</v>
      </c>
      <c r="J267" s="183">
        <f t="shared" si="21"/>
        <v>0.64</v>
      </c>
      <c r="K267" s="183">
        <f t="shared" si="21"/>
        <v>0.64</v>
      </c>
      <c r="L267" s="183">
        <f t="shared" si="21"/>
        <v>0.64</v>
      </c>
      <c r="M267" s="183">
        <f t="shared" si="21"/>
        <v>0.64</v>
      </c>
      <c r="N267" s="183">
        <f t="shared" si="21"/>
        <v>0.64</v>
      </c>
      <c r="O267" s="183">
        <f t="shared" si="21"/>
        <v>0.64</v>
      </c>
      <c r="P267" s="183">
        <f t="shared" si="21"/>
        <v>0</v>
      </c>
      <c r="Q267" s="183">
        <f t="shared" si="21"/>
        <v>0</v>
      </c>
      <c r="R267" s="183">
        <f t="shared" si="21"/>
        <v>0</v>
      </c>
      <c r="S267" s="183">
        <f t="shared" si="21"/>
        <v>0</v>
      </c>
      <c r="T267" s="183">
        <f t="shared" si="21"/>
        <v>0</v>
      </c>
      <c r="U267" s="183">
        <f t="shared" si="21"/>
        <v>0</v>
      </c>
      <c r="V267" s="183">
        <f t="shared" si="21"/>
        <v>0</v>
      </c>
      <c r="W267" s="183">
        <f t="shared" si="21"/>
        <v>0</v>
      </c>
      <c r="X267" s="183">
        <f t="shared" si="21"/>
        <v>0</v>
      </c>
      <c r="Y267" s="183">
        <f t="shared" si="21"/>
        <v>0</v>
      </c>
      <c r="Z267" s="183">
        <f t="shared" si="21"/>
        <v>0</v>
      </c>
      <c r="AA267" s="183">
        <f t="shared" si="21"/>
        <v>0</v>
      </c>
      <c r="AB267" s="183">
        <f t="shared" si="21"/>
        <v>0</v>
      </c>
      <c r="AC267" s="183">
        <f t="shared" si="21"/>
        <v>0</v>
      </c>
      <c r="AD267" s="183">
        <f t="shared" si="21"/>
        <v>0</v>
      </c>
      <c r="AE267" s="183">
        <f t="shared" si="21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22">IF(B235&lt;100,"",B235-520)</f>
        <v/>
      </c>
      <c r="C268" s="184" t="str">
        <f t="shared" si="22"/>
        <v/>
      </c>
      <c r="D268" s="184" t="str">
        <f t="shared" si="22"/>
        <v/>
      </c>
      <c r="E268" s="184" t="str">
        <f t="shared" si="22"/>
        <v/>
      </c>
      <c r="F268" s="184" t="str">
        <f t="shared" si="22"/>
        <v/>
      </c>
      <c r="G268" s="184" t="str">
        <f t="shared" si="22"/>
        <v/>
      </c>
      <c r="H268" s="184" t="str">
        <f t="shared" si="22"/>
        <v/>
      </c>
      <c r="I268" s="184" t="str">
        <f t="shared" si="22"/>
        <v/>
      </c>
      <c r="J268" s="184" t="str">
        <f t="shared" si="22"/>
        <v/>
      </c>
      <c r="K268" s="184" t="str">
        <f t="shared" si="22"/>
        <v/>
      </c>
      <c r="L268" s="184" t="str">
        <f t="shared" si="22"/>
        <v/>
      </c>
      <c r="M268" s="184" t="str">
        <f t="shared" si="22"/>
        <v/>
      </c>
      <c r="N268" s="184" t="str">
        <f t="shared" si="22"/>
        <v/>
      </c>
      <c r="O268" s="184" t="str">
        <f t="shared" si="22"/>
        <v/>
      </c>
      <c r="P268" s="184" t="str">
        <f t="shared" si="22"/>
        <v/>
      </c>
      <c r="Q268" s="184" t="str">
        <f t="shared" si="22"/>
        <v/>
      </c>
      <c r="R268" s="184" t="str">
        <f t="shared" si="22"/>
        <v/>
      </c>
      <c r="S268" s="184" t="str">
        <f t="shared" si="22"/>
        <v/>
      </c>
      <c r="T268" s="184" t="str">
        <f t="shared" si="22"/>
        <v/>
      </c>
      <c r="U268" s="184" t="str">
        <f t="shared" si="22"/>
        <v/>
      </c>
      <c r="V268" s="184" t="str">
        <f t="shared" si="22"/>
        <v/>
      </c>
      <c r="W268" s="184" t="str">
        <f t="shared" si="22"/>
        <v/>
      </c>
      <c r="X268" s="184" t="str">
        <f t="shared" si="22"/>
        <v/>
      </c>
      <c r="Y268" s="184" t="str">
        <f t="shared" si="22"/>
        <v/>
      </c>
      <c r="Z268" s="184" t="str">
        <f t="shared" si="22"/>
        <v/>
      </c>
      <c r="AA268" s="184" t="str">
        <f t="shared" si="22"/>
        <v/>
      </c>
      <c r="AB268" s="184" t="str">
        <f t="shared" si="22"/>
        <v/>
      </c>
      <c r="AC268" s="184" t="str">
        <f t="shared" si="22"/>
        <v/>
      </c>
      <c r="AD268" s="184" t="str">
        <f t="shared" si="22"/>
        <v/>
      </c>
      <c r="AE268" s="184" t="str">
        <f t="shared" si="22"/>
        <v/>
      </c>
      <c r="AF268" s="184" t="str">
        <f t="shared" si="22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23">IF(B236&lt;100,"",B236-620)</f>
        <v/>
      </c>
      <c r="C269" s="184" t="str">
        <f t="shared" si="23"/>
        <v/>
      </c>
      <c r="D269" s="184" t="str">
        <f t="shared" si="23"/>
        <v/>
      </c>
      <c r="E269" s="184" t="str">
        <f t="shared" si="23"/>
        <v/>
      </c>
      <c r="F269" s="184" t="str">
        <f t="shared" si="23"/>
        <v/>
      </c>
      <c r="G269" s="184" t="str">
        <f t="shared" si="23"/>
        <v/>
      </c>
      <c r="H269" s="184" t="str">
        <f t="shared" si="23"/>
        <v/>
      </c>
      <c r="I269" s="184" t="str">
        <f t="shared" si="23"/>
        <v/>
      </c>
      <c r="J269" s="184" t="str">
        <f t="shared" si="23"/>
        <v/>
      </c>
      <c r="K269" s="184" t="str">
        <f t="shared" si="23"/>
        <v/>
      </c>
      <c r="L269" s="184" t="str">
        <f t="shared" si="23"/>
        <v/>
      </c>
      <c r="M269" s="184" t="str">
        <f t="shared" si="23"/>
        <v/>
      </c>
      <c r="N269" s="184" t="str">
        <f t="shared" si="23"/>
        <v/>
      </c>
      <c r="O269" s="184" t="str">
        <f t="shared" si="23"/>
        <v/>
      </c>
      <c r="P269" s="184" t="str">
        <f t="shared" si="23"/>
        <v/>
      </c>
      <c r="Q269" s="184" t="str">
        <f t="shared" si="23"/>
        <v/>
      </c>
      <c r="R269" s="184" t="str">
        <f t="shared" si="23"/>
        <v/>
      </c>
      <c r="S269" s="184" t="str">
        <f t="shared" si="23"/>
        <v/>
      </c>
      <c r="T269" s="184" t="str">
        <f t="shared" si="23"/>
        <v/>
      </c>
      <c r="U269" s="184" t="str">
        <f t="shared" si="23"/>
        <v/>
      </c>
      <c r="V269" s="184" t="str">
        <f t="shared" si="23"/>
        <v/>
      </c>
      <c r="W269" s="184" t="str">
        <f t="shared" si="23"/>
        <v/>
      </c>
      <c r="X269" s="184" t="str">
        <f t="shared" si="23"/>
        <v/>
      </c>
      <c r="Y269" s="184" t="str">
        <f t="shared" si="23"/>
        <v/>
      </c>
      <c r="Z269" s="184" t="str">
        <f t="shared" si="23"/>
        <v/>
      </c>
      <c r="AA269" s="184" t="str">
        <f t="shared" si="23"/>
        <v/>
      </c>
      <c r="AB269" s="184" t="str">
        <f t="shared" si="23"/>
        <v/>
      </c>
      <c r="AC269" s="184" t="str">
        <f t="shared" si="23"/>
        <v/>
      </c>
      <c r="AD269" s="184" t="str">
        <f t="shared" si="23"/>
        <v/>
      </c>
      <c r="AE269" s="184" t="str">
        <f t="shared" si="23"/>
        <v/>
      </c>
      <c r="AF269" s="184" t="str">
        <f t="shared" si="23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24">IF(B237&lt;100,"",B237-330)</f>
        <v/>
      </c>
      <c r="C270" s="184" t="str">
        <f t="shared" si="24"/>
        <v/>
      </c>
      <c r="D270" s="184" t="str">
        <f t="shared" si="24"/>
        <v/>
      </c>
      <c r="E270" s="184" t="str">
        <f t="shared" si="24"/>
        <v/>
      </c>
      <c r="F270" s="184" t="str">
        <f t="shared" si="24"/>
        <v/>
      </c>
      <c r="G270" s="184" t="str">
        <f t="shared" si="24"/>
        <v/>
      </c>
      <c r="H270" s="184" t="str">
        <f t="shared" si="24"/>
        <v/>
      </c>
      <c r="I270" s="184" t="str">
        <f t="shared" si="24"/>
        <v/>
      </c>
      <c r="J270" s="184" t="str">
        <f t="shared" si="24"/>
        <v/>
      </c>
      <c r="K270" s="184" t="str">
        <f t="shared" si="24"/>
        <v/>
      </c>
      <c r="L270" s="184" t="str">
        <f t="shared" si="24"/>
        <v/>
      </c>
      <c r="M270" s="184" t="str">
        <f t="shared" si="24"/>
        <v/>
      </c>
      <c r="N270" s="184" t="str">
        <f t="shared" si="24"/>
        <v/>
      </c>
      <c r="O270" s="184" t="str">
        <f t="shared" si="24"/>
        <v/>
      </c>
      <c r="P270" s="184" t="str">
        <f t="shared" si="24"/>
        <v/>
      </c>
      <c r="Q270" s="184" t="str">
        <f t="shared" si="24"/>
        <v/>
      </c>
      <c r="R270" s="184" t="str">
        <f t="shared" si="24"/>
        <v/>
      </c>
      <c r="S270" s="184" t="str">
        <f t="shared" si="24"/>
        <v/>
      </c>
      <c r="T270" s="184" t="str">
        <f t="shared" si="24"/>
        <v/>
      </c>
      <c r="U270" s="184" t="str">
        <f t="shared" si="24"/>
        <v/>
      </c>
      <c r="V270" s="184" t="str">
        <f t="shared" si="24"/>
        <v/>
      </c>
      <c r="W270" s="184" t="str">
        <f t="shared" si="24"/>
        <v/>
      </c>
      <c r="X270" s="184" t="str">
        <f t="shared" si="24"/>
        <v/>
      </c>
      <c r="Y270" s="184" t="str">
        <f t="shared" si="24"/>
        <v/>
      </c>
      <c r="Z270" s="184" t="str">
        <f t="shared" si="24"/>
        <v/>
      </c>
      <c r="AA270" s="184" t="str">
        <f t="shared" si="24"/>
        <v/>
      </c>
      <c r="AB270" s="184" t="str">
        <f t="shared" si="24"/>
        <v/>
      </c>
      <c r="AC270" s="184" t="str">
        <f t="shared" si="24"/>
        <v/>
      </c>
      <c r="AD270" s="184" t="str">
        <f t="shared" si="24"/>
        <v/>
      </c>
      <c r="AE270" s="184" t="str">
        <f t="shared" si="24"/>
        <v/>
      </c>
      <c r="AF270" s="184" t="str">
        <f t="shared" si="24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25">IF(B238&lt;100,"",B238-1500)</f>
        <v/>
      </c>
      <c r="C271" s="184" t="str">
        <f t="shared" si="25"/>
        <v/>
      </c>
      <c r="D271" s="184" t="str">
        <f t="shared" si="25"/>
        <v/>
      </c>
      <c r="E271" s="184" t="str">
        <f t="shared" si="25"/>
        <v/>
      </c>
      <c r="F271" s="184" t="str">
        <f t="shared" si="25"/>
        <v/>
      </c>
      <c r="G271" s="184" t="str">
        <f t="shared" si="25"/>
        <v/>
      </c>
      <c r="H271" s="184" t="str">
        <f t="shared" si="25"/>
        <v/>
      </c>
      <c r="I271" s="184" t="str">
        <f t="shared" si="25"/>
        <v/>
      </c>
      <c r="J271" s="184" t="str">
        <f t="shared" si="25"/>
        <v/>
      </c>
      <c r="K271" s="184" t="str">
        <f t="shared" si="25"/>
        <v/>
      </c>
      <c r="L271" s="184" t="str">
        <f t="shared" si="25"/>
        <v/>
      </c>
      <c r="M271" s="184" t="str">
        <f t="shared" si="25"/>
        <v/>
      </c>
      <c r="N271" s="184" t="str">
        <f t="shared" si="25"/>
        <v/>
      </c>
      <c r="O271" s="184" t="str">
        <f t="shared" si="25"/>
        <v/>
      </c>
      <c r="P271" s="184" t="str">
        <f t="shared" si="25"/>
        <v/>
      </c>
      <c r="Q271" s="184" t="str">
        <f t="shared" si="25"/>
        <v/>
      </c>
      <c r="R271" s="184" t="str">
        <f t="shared" si="25"/>
        <v/>
      </c>
      <c r="S271" s="184" t="str">
        <f t="shared" si="25"/>
        <v/>
      </c>
      <c r="T271" s="184" t="str">
        <f t="shared" si="25"/>
        <v/>
      </c>
      <c r="U271" s="184" t="str">
        <f t="shared" si="25"/>
        <v/>
      </c>
      <c r="V271" s="184" t="str">
        <f t="shared" si="25"/>
        <v/>
      </c>
      <c r="W271" s="184" t="str">
        <f t="shared" si="25"/>
        <v/>
      </c>
      <c r="X271" s="184" t="str">
        <f t="shared" si="25"/>
        <v/>
      </c>
      <c r="Y271" s="184" t="str">
        <f t="shared" si="25"/>
        <v/>
      </c>
      <c r="Z271" s="184" t="str">
        <f t="shared" si="25"/>
        <v/>
      </c>
      <c r="AA271" s="184" t="str">
        <f t="shared" si="25"/>
        <v/>
      </c>
      <c r="AB271" s="184" t="str">
        <f t="shared" si="25"/>
        <v/>
      </c>
      <c r="AC271" s="184" t="str">
        <f t="shared" si="25"/>
        <v/>
      </c>
      <c r="AD271" s="184" t="str">
        <f t="shared" si="25"/>
        <v/>
      </c>
      <c r="AE271" s="184" t="str">
        <f t="shared" si="25"/>
        <v/>
      </c>
      <c r="AF271" s="184" t="str">
        <f t="shared" si="25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9890" priority="334">
      <formula>B$9&gt;=20/24</formula>
    </cfRule>
    <cfRule type="expression" dxfId="9889" priority="335">
      <formula>AND(B$9&gt;=14/24,B$9&lt;20/24)</formula>
    </cfRule>
    <cfRule type="expression" dxfId="9888" priority="336">
      <formula>AND(B$9&gt;=8/24,B$9&lt;14/24)</formula>
    </cfRule>
    <cfRule type="expression" dxfId="9887" priority="337">
      <formula>B$9&lt;8/24</formula>
    </cfRule>
  </conditionalFormatting>
  <conditionalFormatting sqref="AL4:AL6">
    <cfRule type="iconSet" priority="333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9886" priority="332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9885" priority="331">
      <formula>$AH12=0</formula>
    </cfRule>
  </conditionalFormatting>
  <conditionalFormatting sqref="A114">
    <cfRule type="expression" dxfId="9884" priority="330">
      <formula>$AH114=0</formula>
    </cfRule>
  </conditionalFormatting>
  <conditionalFormatting sqref="AL42">
    <cfRule type="iconSet" priority="329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9883" priority="328">
      <formula>$AH45=0</formula>
    </cfRule>
  </conditionalFormatting>
  <conditionalFormatting sqref="A98">
    <cfRule type="expression" dxfId="9882" priority="327">
      <formula>$AH98=0</formula>
    </cfRule>
  </conditionalFormatting>
  <conditionalFormatting sqref="A18">
    <cfRule type="expression" dxfId="9881" priority="326">
      <formula>$AH18=0</formula>
    </cfRule>
  </conditionalFormatting>
  <conditionalFormatting sqref="A196:A201">
    <cfRule type="expression" dxfId="9880" priority="325">
      <formula>$AH196=0</formula>
    </cfRule>
  </conditionalFormatting>
  <conditionalFormatting sqref="A190:A195">
    <cfRule type="expression" dxfId="9879" priority="324">
      <formula>$AH190=0</formula>
    </cfRule>
  </conditionalFormatting>
  <conditionalFormatting sqref="A58">
    <cfRule type="expression" dxfId="9878" priority="323">
      <formula>$AH58=0</formula>
    </cfRule>
  </conditionalFormatting>
  <conditionalFormatting sqref="A94">
    <cfRule type="expression" dxfId="9877" priority="322">
      <formula>$AH94=0</formula>
    </cfRule>
  </conditionalFormatting>
  <conditionalFormatting sqref="E99:X99 AD99:AF99">
    <cfRule type="expression" dxfId="9876" priority="318">
      <formula>E$9&gt;=20/24</formula>
    </cfRule>
    <cfRule type="expression" dxfId="9875" priority="319">
      <formula>AND(E$9&gt;=14/24,E$9&lt;20/24)</formula>
    </cfRule>
    <cfRule type="expression" dxfId="9874" priority="320">
      <formula>AND(E$9&gt;=8/24,E$9&lt;14/24)</formula>
    </cfRule>
    <cfRule type="expression" dxfId="9873" priority="321">
      <formula>E$9&lt;8/24</formula>
    </cfRule>
  </conditionalFormatting>
  <conditionalFormatting sqref="AL43">
    <cfRule type="iconSet" priority="3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9872" priority="340">
      <formula>C$9&gt;=20/24</formula>
    </cfRule>
    <cfRule type="expression" dxfId="9871" priority="341">
      <formula>AND(C$9&gt;=14/24,C$9&lt;20/24)</formula>
    </cfRule>
    <cfRule type="expression" dxfId="9870" priority="342">
      <formula>AND(C$9&gt;=8/24,C$9&lt;14/24)</formula>
    </cfRule>
    <cfRule type="expression" dxfId="9869" priority="343">
      <formula>C$9&lt;8/24</formula>
    </cfRule>
  </conditionalFormatting>
  <conditionalFormatting sqref="A233">
    <cfRule type="expression" dxfId="9868" priority="344">
      <formula>$AH233=0</formula>
    </cfRule>
  </conditionalFormatting>
  <conditionalFormatting sqref="AG245">
    <cfRule type="expression" dxfId="9867" priority="345">
      <formula>B$9&gt;=20/24</formula>
    </cfRule>
    <cfRule type="expression" dxfId="9866" priority="346">
      <formula>AND(B$9&gt;=14/24,B$9&lt;20/24)</formula>
    </cfRule>
    <cfRule type="expression" dxfId="9865" priority="347">
      <formula>AND(B$9&gt;=8/24,B$9&lt;14/24)</formula>
    </cfRule>
    <cfRule type="expression" dxfId="9864" priority="348">
      <formula>B$9&lt;8/24</formula>
    </cfRule>
  </conditionalFormatting>
  <conditionalFormatting sqref="S8">
    <cfRule type="expression" dxfId="9863" priority="313">
      <formula>U$9&gt;=20/24</formula>
    </cfRule>
    <cfRule type="expression" dxfId="9862" priority="314">
      <formula>AND(U$9&gt;=14/24,U$9&lt;20/24)</formula>
    </cfRule>
    <cfRule type="expression" dxfId="9861" priority="315">
      <formula>AND(U$9&gt;=8/24,U$9&lt;14/24)</formula>
    </cfRule>
    <cfRule type="expression" dxfId="9860" priority="316">
      <formula>U$9&lt;8/24</formula>
    </cfRule>
  </conditionalFormatting>
  <conditionalFormatting sqref="AB8">
    <cfRule type="expression" dxfId="9859" priority="309">
      <formula>AD$9&gt;=20/24</formula>
    </cfRule>
    <cfRule type="expression" dxfId="9858" priority="310">
      <formula>AND(AD$9&gt;=14/24,AD$9&lt;20/24)</formula>
    </cfRule>
    <cfRule type="expression" dxfId="9857" priority="311">
      <formula>AND(AD$9&gt;=8/24,AD$9&lt;14/24)</formula>
    </cfRule>
    <cfRule type="expression" dxfId="9856" priority="312">
      <formula>AD$9&lt;8/24</formula>
    </cfRule>
  </conditionalFormatting>
  <conditionalFormatting sqref="AH245:AX245">
    <cfRule type="expression" dxfId="9855" priority="349">
      <formula>AG$9&gt;=20/24</formula>
    </cfRule>
    <cfRule type="expression" dxfId="9854" priority="350">
      <formula>AND(AG$9&gt;=14/24,AG$9&lt;20/24)</formula>
    </cfRule>
    <cfRule type="expression" dxfId="9853" priority="351">
      <formula>AND(AG$9&gt;=8/24,AG$9&lt;14/24)</formula>
    </cfRule>
    <cfRule type="expression" dxfId="9852" priority="352">
      <formula>AG$9&lt;8/24</formula>
    </cfRule>
  </conditionalFormatting>
  <conditionalFormatting sqref="T245">
    <cfRule type="expression" dxfId="9851" priority="353">
      <formula>AX$9&gt;=20/24</formula>
    </cfRule>
    <cfRule type="expression" dxfId="9850" priority="354">
      <formula>AND(AX$9&gt;=14/24,AX$9&lt;20/24)</formula>
    </cfRule>
    <cfRule type="expression" dxfId="9849" priority="355">
      <formula>AND(AX$9&gt;=8/24,AX$9&lt;14/24)</formula>
    </cfRule>
    <cfRule type="expression" dxfId="9848" priority="356">
      <formula>AX$9&lt;8/24</formula>
    </cfRule>
  </conditionalFormatting>
  <conditionalFormatting sqref="A115:A116">
    <cfRule type="expression" dxfId="9847" priority="308">
      <formula>$AH115=0</formula>
    </cfRule>
  </conditionalFormatting>
  <conditionalFormatting sqref="N54:Q58 AB54:AF57 E71:AF71">
    <cfRule type="expression" dxfId="9846" priority="304">
      <formula>E$9&gt;=20/24</formula>
    </cfRule>
    <cfRule type="expression" dxfId="9845" priority="305">
      <formula>AND(E$9&gt;=14/24,E$9&lt;20/24)</formula>
    </cfRule>
    <cfRule type="expression" dxfId="9844" priority="306">
      <formula>AND(E$9&gt;=8/24,E$9&lt;14/24)</formula>
    </cfRule>
    <cfRule type="expression" dxfId="9843" priority="307">
      <formula>E$9&lt;8/24</formula>
    </cfRule>
  </conditionalFormatting>
  <conditionalFormatting sqref="N53:Q53 AB53:AF53">
    <cfRule type="expression" dxfId="9842" priority="300">
      <formula>N$9&gt;=20/24</formula>
    </cfRule>
    <cfRule type="expression" dxfId="9841" priority="301">
      <formula>AND(N$9&gt;=14/24,N$9&lt;20/24)</formula>
    </cfRule>
    <cfRule type="expression" dxfId="9840" priority="302">
      <formula>AND(N$9&gt;=8/24,N$9&lt;14/24)</formula>
    </cfRule>
    <cfRule type="expression" dxfId="9839" priority="303">
      <formula>N$9&lt;8/24</formula>
    </cfRule>
  </conditionalFormatting>
  <conditionalFormatting sqref="N53:Q58 AB53:AF57">
    <cfRule type="expression" dxfId="9838" priority="299">
      <formula>N53&gt;$AG53</formula>
    </cfRule>
  </conditionalFormatting>
  <conditionalFormatting sqref="D86:AF86 X96:AF96 E73:X73 F72:X72 N100:Y106 X47:AF47 X67:AF69 Y72:AF74">
    <cfRule type="expression" dxfId="9837" priority="295">
      <formula>D$9&gt;=20/24</formula>
    </cfRule>
    <cfRule type="expression" dxfId="9836" priority="296">
      <formula>AND(D$9&gt;=14/24,D$9&lt;20/24)</formula>
    </cfRule>
    <cfRule type="expression" dxfId="9835" priority="297">
      <formula>AND(D$9&gt;=8/24,D$9&lt;14/24)</formula>
    </cfRule>
    <cfRule type="expression" dxfId="9834" priority="298">
      <formula>D$9&lt;8/24</formula>
    </cfRule>
  </conditionalFormatting>
  <conditionalFormatting sqref="X47:AF47 X67:AF69">
    <cfRule type="expression" dxfId="9833" priority="294">
      <formula>X47&gt;$AG47</formula>
    </cfRule>
  </conditionalFormatting>
  <conditionalFormatting sqref="R53:AA58">
    <cfRule type="expression" dxfId="9832" priority="290">
      <formula>R$9&gt;=20/24</formula>
    </cfRule>
    <cfRule type="expression" dxfId="9831" priority="291">
      <formula>AND(R$9&gt;=14/24,R$9&lt;20/24)</formula>
    </cfRule>
    <cfRule type="expression" dxfId="9830" priority="292">
      <formula>AND(R$9&gt;=8/24,R$9&lt;14/24)</formula>
    </cfRule>
    <cfRule type="expression" dxfId="9829" priority="293">
      <formula>R$9&lt;8/24</formula>
    </cfRule>
  </conditionalFormatting>
  <conditionalFormatting sqref="R53:AA58">
    <cfRule type="expression" dxfId="9828" priority="289">
      <formula>R53&gt;$AG53</formula>
    </cfRule>
  </conditionalFormatting>
  <conditionalFormatting sqref="C97:AF97 D88:AF88">
    <cfRule type="expression" dxfId="9827" priority="285">
      <formula>C$9&gt;=20/24</formula>
    </cfRule>
    <cfRule type="expression" dxfId="9826" priority="286">
      <formula>AND(C$9&gt;=14/24,C$9&lt;20/24)</formula>
    </cfRule>
    <cfRule type="expression" dxfId="9825" priority="287">
      <formula>AND(C$9&gt;=8/24,C$9&lt;14/24)</formula>
    </cfRule>
    <cfRule type="expression" dxfId="9824" priority="288">
      <formula>C$9&lt;8/24</formula>
    </cfRule>
  </conditionalFormatting>
  <conditionalFormatting sqref="T47:W47">
    <cfRule type="expression" dxfId="9823" priority="281">
      <formula>T$9&gt;=20/24</formula>
    </cfRule>
    <cfRule type="expression" dxfId="9822" priority="282">
      <formula>AND(T$9&gt;=14/24,T$9&lt;20/24)</formula>
    </cfRule>
    <cfRule type="expression" dxfId="9821" priority="283">
      <formula>AND(T$9&gt;=8/24,T$9&lt;14/24)</formula>
    </cfRule>
    <cfRule type="expression" dxfId="9820" priority="284">
      <formula>T$9&lt;8/24</formula>
    </cfRule>
  </conditionalFormatting>
  <conditionalFormatting sqref="T47:W47">
    <cfRule type="expression" dxfId="9819" priority="280">
      <formula>T47&gt;$AG47</formula>
    </cfRule>
  </conditionalFormatting>
  <conditionalFormatting sqref="E54:M55">
    <cfRule type="expression" dxfId="9818" priority="276">
      <formula>E$9&gt;=20/24</formula>
    </cfRule>
    <cfRule type="expression" dxfId="9817" priority="277">
      <formula>AND(E$9&gt;=14/24,E$9&lt;20/24)</formula>
    </cfRule>
    <cfRule type="expression" dxfId="9816" priority="278">
      <formula>AND(E$9&gt;=8/24,E$9&lt;14/24)</formula>
    </cfRule>
    <cfRule type="expression" dxfId="9815" priority="279">
      <formula>E$9&lt;8/24</formula>
    </cfRule>
  </conditionalFormatting>
  <conditionalFormatting sqref="E53:M53">
    <cfRule type="expression" dxfId="9814" priority="272">
      <formula>E$9&gt;=20/24</formula>
    </cfRule>
    <cfRule type="expression" dxfId="9813" priority="273">
      <formula>AND(E$9&gt;=14/24,E$9&lt;20/24)</formula>
    </cfRule>
    <cfRule type="expression" dxfId="9812" priority="274">
      <formula>AND(E$9&gt;=8/24,E$9&lt;14/24)</formula>
    </cfRule>
    <cfRule type="expression" dxfId="9811" priority="275">
      <formula>E$9&lt;8/24</formula>
    </cfRule>
  </conditionalFormatting>
  <conditionalFormatting sqref="E53:M55">
    <cfRule type="expression" dxfId="9810" priority="271">
      <formula>E53&gt;$AG53</formula>
    </cfRule>
  </conditionalFormatting>
  <conditionalFormatting sqref="AG70 AG87 E100:M106 Q67:W69">
    <cfRule type="expression" dxfId="9809" priority="267">
      <formula>E$9&gt;=20/24</formula>
    </cfRule>
    <cfRule type="expression" dxfId="9808" priority="268">
      <formula>AND(E$9&gt;=14/24,E$9&lt;20/24)</formula>
    </cfRule>
    <cfRule type="expression" dxfId="9807" priority="269">
      <formula>AND(E$9&gt;=8/24,E$9&lt;14/24)</formula>
    </cfRule>
    <cfRule type="expression" dxfId="9806" priority="270">
      <formula>E$9&lt;8/24</formula>
    </cfRule>
  </conditionalFormatting>
  <conditionalFormatting sqref="AG48 AG66 AG70 Q67:W69">
    <cfRule type="expression" dxfId="9805" priority="266">
      <formula>Q48&gt;$AG48</formula>
    </cfRule>
  </conditionalFormatting>
  <conditionalFormatting sqref="AB58:AF58">
    <cfRule type="expression" dxfId="9804" priority="262">
      <formula>AB$9&gt;=20/24</formula>
    </cfRule>
    <cfRule type="expression" dxfId="9803" priority="263">
      <formula>AND(AB$9&gt;=14/24,AB$9&lt;20/24)</formula>
    </cfRule>
    <cfRule type="expression" dxfId="9802" priority="264">
      <formula>AND(AB$9&gt;=8/24,AB$9&lt;14/24)</formula>
    </cfRule>
    <cfRule type="expression" dxfId="9801" priority="265">
      <formula>AB$9&lt;8/24</formula>
    </cfRule>
  </conditionalFormatting>
  <conditionalFormatting sqref="AB58:AF58">
    <cfRule type="expression" dxfId="9800" priority="261">
      <formula>AB58&gt;$AG58</formula>
    </cfRule>
  </conditionalFormatting>
  <conditionalFormatting sqref="A43">
    <cfRule type="expression" dxfId="9799" priority="260">
      <formula>$AH43=0</formula>
    </cfRule>
  </conditionalFormatting>
  <conditionalFormatting sqref="X91:AF95">
    <cfRule type="expression" dxfId="9798" priority="256">
      <formula>X$9&gt;=20/24</formula>
    </cfRule>
    <cfRule type="expression" dxfId="9797" priority="257">
      <formula>AND(X$9&gt;=14/24,X$9&lt;20/24)</formula>
    </cfRule>
    <cfRule type="expression" dxfId="9796" priority="258">
      <formula>AND(X$9&gt;=8/24,X$9&lt;14/24)</formula>
    </cfRule>
    <cfRule type="expression" dxfId="9795" priority="259">
      <formula>X$9&lt;8/24</formula>
    </cfRule>
  </conditionalFormatting>
  <conditionalFormatting sqref="AL45 AL41 AL22:AL32 AL38:AL39 AL7:AL15 AL17:AL20 AL34:AL36">
    <cfRule type="iconSet" priority="357">
      <iconSet iconSet="3TrafficLights2" reverse="1">
        <cfvo type="percent" val="0"/>
        <cfvo type="num" val="1"/>
        <cfvo type="num" val="1"/>
      </iconSet>
    </cfRule>
  </conditionalFormatting>
  <conditionalFormatting sqref="J49:Q49 N50:Q51 R49:AF51">
    <cfRule type="expression" dxfId="9794" priority="252">
      <formula>J$9&gt;=20/24</formula>
    </cfRule>
    <cfRule type="expression" dxfId="9793" priority="253">
      <formula>AND(J$9&gt;=14/24,J$9&lt;20/24)</formula>
    </cfRule>
    <cfRule type="expression" dxfId="9792" priority="254">
      <formula>AND(J$9&gt;=8/24,J$9&lt;14/24)</formula>
    </cfRule>
    <cfRule type="expression" dxfId="9791" priority="255">
      <formula>J$9&lt;8/24</formula>
    </cfRule>
  </conditionalFormatting>
  <conditionalFormatting sqref="J49:Q49 N50:Q51 R49:AF51">
    <cfRule type="expression" dxfId="9790" priority="251">
      <formula>J49&gt;$AG49</formula>
    </cfRule>
  </conditionalFormatting>
  <conditionalFormatting sqref="AG52">
    <cfRule type="expression" dxfId="9789" priority="247">
      <formula>AG$9&gt;=20/24</formula>
    </cfRule>
    <cfRule type="expression" dxfId="9788" priority="248">
      <formula>AND(AG$9&gt;=14/24,AG$9&lt;20/24)</formula>
    </cfRule>
    <cfRule type="expression" dxfId="9787" priority="249">
      <formula>AND(AG$9&gt;=8/24,AG$9&lt;14/24)</formula>
    </cfRule>
    <cfRule type="expression" dxfId="9786" priority="250">
      <formula>AG$9&lt;8/24</formula>
    </cfRule>
  </conditionalFormatting>
  <conditionalFormatting sqref="AG52">
    <cfRule type="expression" dxfId="9785" priority="246">
      <formula>AG52&gt;$AG52</formula>
    </cfRule>
  </conditionalFormatting>
  <conditionalFormatting sqref="C107:AF107">
    <cfRule type="expression" dxfId="9784" priority="242">
      <formula>C$9&gt;=20/24</formula>
    </cfRule>
    <cfRule type="expression" dxfId="9783" priority="243">
      <formula>AND(C$9&gt;=14/24,C$9&lt;20/24)</formula>
    </cfRule>
    <cfRule type="expression" dxfId="9782" priority="244">
      <formula>AND(C$9&gt;=8/24,C$9&lt;14/24)</formula>
    </cfRule>
    <cfRule type="expression" dxfId="9781" priority="245">
      <formula>C$9&lt;8/24</formula>
    </cfRule>
  </conditionalFormatting>
  <conditionalFormatting sqref="AL40">
    <cfRule type="iconSet" priority="241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9780" priority="240">
      <formula>$AH40=0</formula>
    </cfRule>
  </conditionalFormatting>
  <conditionalFormatting sqref="A90">
    <cfRule type="expression" dxfId="9779" priority="238">
      <formula>$AH90=0</formula>
    </cfRule>
  </conditionalFormatting>
  <conditionalFormatting sqref="A87">
    <cfRule type="expression" dxfId="9778" priority="239">
      <formula>$AH87=0</formula>
    </cfRule>
  </conditionalFormatting>
  <conditionalFormatting sqref="D110:AF110">
    <cfRule type="expression" dxfId="9777" priority="234">
      <formula>D$9&gt;=20/24</formula>
    </cfRule>
    <cfRule type="expression" dxfId="9776" priority="235">
      <formula>AND(D$9&gt;=14/24,D$9&lt;20/24)</formula>
    </cfRule>
    <cfRule type="expression" dxfId="9775" priority="236">
      <formula>AND(D$9&gt;=8/24,D$9&lt;14/24)</formula>
    </cfRule>
    <cfRule type="expression" dxfId="9774" priority="237">
      <formula>D$9&lt;8/24</formula>
    </cfRule>
  </conditionalFormatting>
  <conditionalFormatting sqref="A110">
    <cfRule type="expression" dxfId="9773" priority="233">
      <formula>$AH110=0</formula>
    </cfRule>
  </conditionalFormatting>
  <conditionalFormatting sqref="A21">
    <cfRule type="expression" dxfId="9772" priority="231">
      <formula>$AH21=0</formula>
    </cfRule>
  </conditionalFormatting>
  <conditionalFormatting sqref="AL21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9771" priority="229">
      <formula>$AH37=0</formula>
    </cfRule>
  </conditionalFormatting>
  <conditionalFormatting sqref="AL37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9770" priority="225">
      <formula>Y$9&gt;=20/24</formula>
    </cfRule>
    <cfRule type="expression" dxfId="9769" priority="226">
      <formula>AND(Y$9&gt;=14/24,Y$9&lt;20/24)</formula>
    </cfRule>
    <cfRule type="expression" dxfId="9768" priority="227">
      <formula>AND(Y$9&gt;=8/24,Y$9&lt;14/24)</formula>
    </cfRule>
    <cfRule type="expression" dxfId="9767" priority="228">
      <formula>Y$9&lt;8/24</formula>
    </cfRule>
  </conditionalFormatting>
  <conditionalFormatting sqref="Z100:AF106">
    <cfRule type="expression" dxfId="9766" priority="221">
      <formula>Z$9&gt;=20/24</formula>
    </cfRule>
    <cfRule type="expression" dxfId="9765" priority="222">
      <formula>AND(Z$9&gt;=14/24,Z$9&lt;20/24)</formula>
    </cfRule>
    <cfRule type="expression" dxfId="9764" priority="223">
      <formula>AND(Z$9&gt;=8/24,Z$9&lt;14/24)</formula>
    </cfRule>
    <cfRule type="expression" dxfId="9763" priority="224">
      <formula>Z$9&lt;8/24</formula>
    </cfRule>
  </conditionalFormatting>
  <conditionalFormatting sqref="C109 C111:C116 N17:AF18">
    <cfRule type="expression" dxfId="9762" priority="217">
      <formula>C$9&gt;=20/24</formula>
    </cfRule>
    <cfRule type="expression" dxfId="9761" priority="218">
      <formula>AND(C$9&gt;=14/24,C$9&lt;20/24)</formula>
    </cfRule>
    <cfRule type="expression" dxfId="9760" priority="219">
      <formula>AND(C$9&gt;=8/24,C$9&lt;14/24)</formula>
    </cfRule>
    <cfRule type="expression" dxfId="9759" priority="220">
      <formula>C$9&lt;8/24</formula>
    </cfRule>
  </conditionalFormatting>
  <conditionalFormatting sqref="C47:S47">
    <cfRule type="expression" dxfId="9758" priority="213">
      <formula>C$9&gt;=20/24</formula>
    </cfRule>
    <cfRule type="expression" dxfId="9757" priority="214">
      <formula>AND(C$9&gt;=14/24,C$9&lt;20/24)</formula>
    </cfRule>
    <cfRule type="expression" dxfId="9756" priority="215">
      <formula>AND(C$9&gt;=8/24,C$9&lt;14/24)</formula>
    </cfRule>
    <cfRule type="expression" dxfId="9755" priority="216">
      <formula>C$9&lt;8/24</formula>
    </cfRule>
  </conditionalFormatting>
  <conditionalFormatting sqref="C47:S47 N17:AF18">
    <cfRule type="expression" dxfId="9754" priority="212">
      <formula>C17&gt;$AG17</formula>
    </cfRule>
  </conditionalFormatting>
  <conditionalFormatting sqref="C99:D99">
    <cfRule type="expression" dxfId="9753" priority="208">
      <formula>C$9&gt;=20/24</formula>
    </cfRule>
    <cfRule type="expression" dxfId="9752" priority="209">
      <formula>AND(C$9&gt;=14/24,C$9&lt;20/24)</formula>
    </cfRule>
    <cfRule type="expression" dxfId="9751" priority="210">
      <formula>AND(C$9&gt;=8/24,C$9&lt;14/24)</formula>
    </cfRule>
    <cfRule type="expression" dxfId="9750" priority="211">
      <formula>C$9&lt;8/24</formula>
    </cfRule>
  </conditionalFormatting>
  <conditionalFormatting sqref="C86 C96:W96 C83:AF85 D100:D106 K67:P67 N68:P69 X74:X76 E74:W75 P76:W76 Y75:AF76">
    <cfRule type="expression" dxfId="9749" priority="204">
      <formula>C$9&gt;=20/24</formula>
    </cfRule>
    <cfRule type="expression" dxfId="9748" priority="205">
      <formula>AND(C$9&gt;=14/24,C$9&lt;20/24)</formula>
    </cfRule>
    <cfRule type="expression" dxfId="9747" priority="206">
      <formula>AND(C$9&gt;=8/24,C$9&lt;14/24)</formula>
    </cfRule>
    <cfRule type="expression" dxfId="9746" priority="207">
      <formula>C$9&lt;8/24</formula>
    </cfRule>
  </conditionalFormatting>
  <conditionalFormatting sqref="K67:P67 N68:P69 F56:M56">
    <cfRule type="expression" dxfId="9745" priority="203">
      <formula>F56&gt;$AG56</formula>
    </cfRule>
  </conditionalFormatting>
  <conditionalFormatting sqref="B71:D71 B54:D57 E56:E57 F57:M57">
    <cfRule type="expression" dxfId="9744" priority="132">
      <formula>B$9&gt;=20/24</formula>
    </cfRule>
    <cfRule type="expression" dxfId="9743" priority="133">
      <formula>AND(B$9&gt;=14/24,B$9&lt;20/24)</formula>
    </cfRule>
    <cfRule type="expression" dxfId="9742" priority="134">
      <formula>AND(B$9&gt;=8/24,B$9&lt;14/24)</formula>
    </cfRule>
    <cfRule type="expression" dxfId="9741" priority="135">
      <formula>B$9&lt;8/24</formula>
    </cfRule>
  </conditionalFormatting>
  <conditionalFormatting sqref="C70:AF70 C87:AF87 C89:AF89 C98:AF98">
    <cfRule type="expression" dxfId="9740" priority="199">
      <formula>C$9&gt;=20/24</formula>
    </cfRule>
    <cfRule type="expression" dxfId="9739" priority="200">
      <formula>AND(C$9&gt;=14/24,C$9&lt;20/24)</formula>
    </cfRule>
    <cfRule type="expression" dxfId="9738" priority="201">
      <formula>AND(C$9&gt;=8/24,C$9&lt;14/24)</formula>
    </cfRule>
    <cfRule type="expression" dxfId="9737" priority="202">
      <formula>C$9&lt;8/24</formula>
    </cfRule>
  </conditionalFormatting>
  <conditionalFormatting sqref="C48:AF48 C65:AF66 C70:AF70">
    <cfRule type="expression" dxfId="9736" priority="198">
      <formula>C48&gt;$AG48</formula>
    </cfRule>
  </conditionalFormatting>
  <conditionalFormatting sqref="C82:AF82">
    <cfRule type="expression" dxfId="9735" priority="194">
      <formula>C$9&gt;=20/24</formula>
    </cfRule>
    <cfRule type="expression" dxfId="9734" priority="195">
      <formula>AND(C$9&gt;=14/24,C$9&lt;20/24)</formula>
    </cfRule>
    <cfRule type="expression" dxfId="9733" priority="196">
      <formula>AND(C$9&gt;=8/24,C$9&lt;14/24)</formula>
    </cfRule>
    <cfRule type="expression" dxfId="9732" priority="197">
      <formula>C$9&lt;8/24</formula>
    </cfRule>
  </conditionalFormatting>
  <conditionalFormatting sqref="C91:W95">
    <cfRule type="expression" dxfId="9731" priority="190">
      <formula>C$9&gt;=20/24</formula>
    </cfRule>
    <cfRule type="expression" dxfId="9730" priority="191">
      <formula>AND(C$9&gt;=14/24,C$9&lt;20/24)</formula>
    </cfRule>
    <cfRule type="expression" dxfId="9729" priority="192">
      <formula>AND(C$9&gt;=8/24,C$9&lt;14/24)</formula>
    </cfRule>
    <cfRule type="expression" dxfId="9728" priority="193">
      <formula>C$9&lt;8/24</formula>
    </cfRule>
  </conditionalFormatting>
  <conditionalFormatting sqref="C52:AF52">
    <cfRule type="expression" dxfId="9727" priority="186">
      <formula>C$9&gt;=20/24</formula>
    </cfRule>
    <cfRule type="expression" dxfId="9726" priority="187">
      <formula>AND(C$9&gt;=14/24,C$9&lt;20/24)</formula>
    </cfRule>
    <cfRule type="expression" dxfId="9725" priority="188">
      <formula>AND(C$9&gt;=8/24,C$9&lt;14/24)</formula>
    </cfRule>
    <cfRule type="expression" dxfId="9724" priority="189">
      <formula>C$9&lt;8/24</formula>
    </cfRule>
  </conditionalFormatting>
  <conditionalFormatting sqref="C52:AF52">
    <cfRule type="expression" dxfId="9723" priority="185">
      <formula>C52&gt;$AG52</formula>
    </cfRule>
  </conditionalFormatting>
  <conditionalFormatting sqref="B49:I51 J50:M51">
    <cfRule type="expression" dxfId="9722" priority="100">
      <formula>B$9&gt;=20/24</formula>
    </cfRule>
    <cfRule type="expression" dxfId="9721" priority="101">
      <formula>AND(B$9&gt;=14/24,B$9&lt;20/24)</formula>
    </cfRule>
    <cfRule type="expression" dxfId="9720" priority="102">
      <formula>AND(B$9&gt;=8/24,B$9&lt;14/24)</formula>
    </cfRule>
    <cfRule type="expression" dxfId="9719" priority="103">
      <formula>B$9&lt;8/24</formula>
    </cfRule>
  </conditionalFormatting>
  <conditionalFormatting sqref="C110">
    <cfRule type="expression" dxfId="9718" priority="177">
      <formula>C$9&gt;=20/24</formula>
    </cfRule>
    <cfRule type="expression" dxfId="9717" priority="178">
      <formula>AND(C$9&gt;=14/24,C$9&lt;20/24)</formula>
    </cfRule>
    <cfRule type="expression" dxfId="9716" priority="179">
      <formula>AND(C$9&gt;=8/24,C$9&lt;14/24)</formula>
    </cfRule>
    <cfRule type="expression" dxfId="9715" priority="180">
      <formula>C$9&lt;8/24</formula>
    </cfRule>
  </conditionalFormatting>
  <conditionalFormatting sqref="N59:AF64">
    <cfRule type="expression" dxfId="9714" priority="173">
      <formula>N$9&gt;=20/24</formula>
    </cfRule>
    <cfRule type="expression" dxfId="9713" priority="174">
      <formula>AND(N$9&gt;=14/24,N$9&lt;20/24)</formula>
    </cfRule>
    <cfRule type="expression" dxfId="9712" priority="175">
      <formula>AND(N$9&gt;=8/24,N$9&lt;14/24)</formula>
    </cfRule>
    <cfRule type="expression" dxfId="9711" priority="176">
      <formula>N$9&lt;8/24</formula>
    </cfRule>
  </conditionalFormatting>
  <conditionalFormatting sqref="N59:AF64">
    <cfRule type="expression" dxfId="9710" priority="172">
      <formula>N59&gt;$AG59</formula>
    </cfRule>
  </conditionalFormatting>
  <conditionalFormatting sqref="N13:AF15">
    <cfRule type="expression" dxfId="9709" priority="171">
      <formula>N13&gt;$AG13</formula>
    </cfRule>
  </conditionalFormatting>
  <conditionalFormatting sqref="N12:AF12">
    <cfRule type="expression" dxfId="9708" priority="167">
      <formula>N$9&gt;=20/24</formula>
    </cfRule>
    <cfRule type="expression" dxfId="9707" priority="168">
      <formula>AND(N$9&gt;=14/24,N$9&lt;20/24)</formula>
    </cfRule>
    <cfRule type="expression" dxfId="9706" priority="169">
      <formula>AND(N$9&gt;=8/24,N$9&lt;14/24)</formula>
    </cfRule>
    <cfRule type="expression" dxfId="9705" priority="170">
      <formula>N$9&lt;8/24</formula>
    </cfRule>
  </conditionalFormatting>
  <conditionalFormatting sqref="N12:AF12">
    <cfRule type="expression" dxfId="9704" priority="166">
      <formula>N12&gt;$AG12</formula>
    </cfRule>
  </conditionalFormatting>
  <conditionalFormatting sqref="N13:AF15">
    <cfRule type="expression" dxfId="9703" priority="162">
      <formula>N$9&gt;=20/24</formula>
    </cfRule>
    <cfRule type="expression" dxfId="9702" priority="163">
      <formula>AND(N$9&gt;=14/24,N$9&lt;20/24)</formula>
    </cfRule>
    <cfRule type="expression" dxfId="9701" priority="164">
      <formula>AND(N$9&gt;=8/24,N$9&lt;14/24)</formula>
    </cfRule>
    <cfRule type="expression" dxfId="9700" priority="165">
      <formula>N$9&lt;8/24</formula>
    </cfRule>
  </conditionalFormatting>
  <conditionalFormatting sqref="N77:AF81">
    <cfRule type="expression" dxfId="9699" priority="154">
      <formula>N$9&gt;=20/24</formula>
    </cfRule>
    <cfRule type="expression" dxfId="9698" priority="155">
      <formula>AND(N$9&gt;=14/24,N$9&lt;20/24)</formula>
    </cfRule>
    <cfRule type="expression" dxfId="9697" priority="156">
      <formula>AND(N$9&gt;=8/24,N$9&lt;14/24)</formula>
    </cfRule>
    <cfRule type="expression" dxfId="9696" priority="157">
      <formula>N$9&lt;8/24</formula>
    </cfRule>
  </conditionalFormatting>
  <conditionalFormatting sqref="AL78:AN78 AL84:AN84 AN79:AN80">
    <cfRule type="expression" dxfId="9695" priority="150">
      <formula>AL$9&gt;=20/24</formula>
    </cfRule>
    <cfRule type="expression" dxfId="9694" priority="151">
      <formula>AND(AL$9&gt;=14/24,AL$9&lt;20/24)</formula>
    </cfRule>
    <cfRule type="expression" dxfId="9693" priority="152">
      <formula>AND(AL$9&gt;=8/24,AL$9&lt;14/24)</formula>
    </cfRule>
    <cfRule type="expression" dxfId="9692" priority="153">
      <formula>AL$9&lt;8/24</formula>
    </cfRule>
  </conditionalFormatting>
  <conditionalFormatting sqref="AN81:AN82">
    <cfRule type="expression" dxfId="9691" priority="146">
      <formula>AN$9&gt;=20/24</formula>
    </cfRule>
    <cfRule type="expression" dxfId="9690" priority="147">
      <formula>AND(AN$9&gt;=14/24,AN$9&lt;20/24)</formula>
    </cfRule>
    <cfRule type="expression" dxfId="9689" priority="148">
      <formula>AND(AN$9&gt;=8/24,AN$9&lt;14/24)</formula>
    </cfRule>
    <cfRule type="expression" dxfId="9688" priority="149">
      <formula>AN$9&lt;8/24</formula>
    </cfRule>
  </conditionalFormatting>
  <conditionalFormatting sqref="AL79:AM83">
    <cfRule type="expression" dxfId="9687" priority="358">
      <formula>AJ$9&gt;=20/24</formula>
    </cfRule>
    <cfRule type="expression" dxfId="9686" priority="359">
      <formula>AND(AJ$9&gt;=14/24,AJ$9&lt;20/24)</formula>
    </cfRule>
    <cfRule type="expression" dxfId="9685" priority="360">
      <formula>AND(AJ$9&gt;=8/24,AJ$9&lt;14/24)</formula>
    </cfRule>
    <cfRule type="expression" dxfId="9684" priority="361">
      <formula>AJ$9&lt;8/24</formula>
    </cfRule>
  </conditionalFormatting>
  <conditionalFormatting sqref="A117">
    <cfRule type="expression" dxfId="9683" priority="145">
      <formula>$AH117=0</formula>
    </cfRule>
  </conditionalFormatting>
  <conditionalFormatting sqref="B109 B111:B116 B12:M15 B17:M32 N19:AF32 B34:AF43 B45:AF45">
    <cfRule type="expression" dxfId="9682" priority="141">
      <formula>B$9&gt;=20/24</formula>
    </cfRule>
    <cfRule type="expression" dxfId="9681" priority="142">
      <formula>AND(B$9&gt;=14/24,B$9&lt;20/24)</formula>
    </cfRule>
    <cfRule type="expression" dxfId="9680" priority="143">
      <formula>AND(B$9&gt;=8/24,B$9&lt;14/24)</formula>
    </cfRule>
    <cfRule type="expression" dxfId="9679" priority="144">
      <formula>B$9&lt;8/24</formula>
    </cfRule>
  </conditionalFormatting>
  <conditionalFormatting sqref="B12:M15 B17:M32 N19:AF32 B34:AF43 B45:AF45">
    <cfRule type="expression" dxfId="9678" priority="140">
      <formula>B12&gt;$AG12</formula>
    </cfRule>
  </conditionalFormatting>
  <conditionalFormatting sqref="B99">
    <cfRule type="expression" dxfId="9677" priority="136">
      <formula>B$9&gt;=20/24</formula>
    </cfRule>
    <cfRule type="expression" dxfId="9676" priority="137">
      <formula>AND(B$9&gt;=14/24,B$9&lt;20/24)</formula>
    </cfRule>
    <cfRule type="expression" dxfId="9675" priority="138">
      <formula>AND(B$9&gt;=8/24,B$9&lt;14/24)</formula>
    </cfRule>
    <cfRule type="expression" dxfId="9674" priority="139">
      <formula>B$9&lt;8/24</formula>
    </cfRule>
  </conditionalFormatting>
  <conditionalFormatting sqref="B53:D53">
    <cfRule type="expression" dxfId="9673" priority="128">
      <formula>B$9&gt;=20/24</formula>
    </cfRule>
    <cfRule type="expression" dxfId="9672" priority="129">
      <formula>AND(B$9&gt;=14/24,B$9&lt;20/24)</formula>
    </cfRule>
    <cfRule type="expression" dxfId="9671" priority="130">
      <formula>AND(B$9&gt;=8/24,B$9&lt;14/24)</formula>
    </cfRule>
    <cfRule type="expression" dxfId="9670" priority="131">
      <formula>B$9&lt;8/24</formula>
    </cfRule>
  </conditionalFormatting>
  <conditionalFormatting sqref="B53:D57 E56:E57 F57:M57">
    <cfRule type="expression" dxfId="9669" priority="127">
      <formula>B53&gt;$AG53</formula>
    </cfRule>
  </conditionalFormatting>
  <conditionalFormatting sqref="B96 B86 B47 B72:D74 B100:C106 E72 B67:J69 K68:M69">
    <cfRule type="expression" dxfId="9668" priority="123">
      <formula>B$9&gt;=20/24</formula>
    </cfRule>
    <cfRule type="expression" dxfId="9667" priority="124">
      <formula>AND(B$9&gt;=14/24,B$9&lt;20/24)</formula>
    </cfRule>
    <cfRule type="expression" dxfId="9666" priority="125">
      <formula>AND(B$9&gt;=8/24,B$9&lt;14/24)</formula>
    </cfRule>
    <cfRule type="expression" dxfId="9665" priority="126">
      <formula>B$9&lt;8/24</formula>
    </cfRule>
  </conditionalFormatting>
  <conditionalFormatting sqref="B47 B67:J69 K68:M69">
    <cfRule type="expression" dxfId="9664" priority="122">
      <formula>B47&gt;$AG47</formula>
    </cfRule>
  </conditionalFormatting>
  <conditionalFormatting sqref="B97 B88:C88">
    <cfRule type="expression" dxfId="9663" priority="118">
      <formula>B$9&gt;=20/24</formula>
    </cfRule>
    <cfRule type="expression" dxfId="9662" priority="119">
      <formula>AND(B$9&gt;=14/24,B$9&lt;20/24)</formula>
    </cfRule>
    <cfRule type="expression" dxfId="9661" priority="120">
      <formula>AND(B$9&gt;=8/24,B$9&lt;14/24)</formula>
    </cfRule>
    <cfRule type="expression" dxfId="9660" priority="121">
      <formula>B$9&lt;8/24</formula>
    </cfRule>
  </conditionalFormatting>
  <conditionalFormatting sqref="B46:AF46">
    <cfRule type="expression" dxfId="9659" priority="114">
      <formula>B$9&gt;=20/24</formula>
    </cfRule>
    <cfRule type="expression" dxfId="9658" priority="115">
      <formula>AND(B$9&gt;=14/24,B$9&lt;20/24)</formula>
    </cfRule>
    <cfRule type="expression" dxfId="9657" priority="116">
      <formula>AND(B$9&gt;=8/24,B$9&lt;14/24)</formula>
    </cfRule>
    <cfRule type="expression" dxfId="9656" priority="117">
      <formula>B$9&lt;8/24</formula>
    </cfRule>
  </conditionalFormatting>
  <conditionalFormatting sqref="B46:AF46">
    <cfRule type="expression" dxfId="9655" priority="113">
      <formula>B46&gt;$AG46</formula>
    </cfRule>
  </conditionalFormatting>
  <conditionalFormatting sqref="B58:M58">
    <cfRule type="expression" dxfId="9654" priority="109">
      <formula>B$9&gt;=20/24</formula>
    </cfRule>
    <cfRule type="expression" dxfId="9653" priority="110">
      <formula>AND(B$9&gt;=14/24,B$9&lt;20/24)</formula>
    </cfRule>
    <cfRule type="expression" dxfId="9652" priority="111">
      <formula>AND(B$9&gt;=8/24,B$9&lt;14/24)</formula>
    </cfRule>
    <cfRule type="expression" dxfId="9651" priority="112">
      <formula>B$9&lt;8/24</formula>
    </cfRule>
  </conditionalFormatting>
  <conditionalFormatting sqref="B58:M58">
    <cfRule type="expression" dxfId="9650" priority="108">
      <formula>B58&gt;$AG58</formula>
    </cfRule>
  </conditionalFormatting>
  <conditionalFormatting sqref="B91:B95">
    <cfRule type="expression" dxfId="9649" priority="104">
      <formula>B$9&gt;=20/24</formula>
    </cfRule>
    <cfRule type="expression" dxfId="9648" priority="105">
      <formula>AND(B$9&gt;=14/24,B$9&lt;20/24)</formula>
    </cfRule>
    <cfRule type="expression" dxfId="9647" priority="106">
      <formula>AND(B$9&gt;=8/24,B$9&lt;14/24)</formula>
    </cfRule>
    <cfRule type="expression" dxfId="9646" priority="107">
      <formula>B$9&lt;8/24</formula>
    </cfRule>
  </conditionalFormatting>
  <conditionalFormatting sqref="B49:I51 J50:M51">
    <cfRule type="expression" dxfId="9645" priority="99">
      <formula>B49&gt;$AG49</formula>
    </cfRule>
  </conditionalFormatting>
  <conditionalFormatting sqref="B107">
    <cfRule type="expression" dxfId="9644" priority="95">
      <formula>B$9&gt;=20/24</formula>
    </cfRule>
    <cfRule type="expression" dxfId="9643" priority="96">
      <formula>AND(B$9&gt;=14/24,B$9&lt;20/24)</formula>
    </cfRule>
    <cfRule type="expression" dxfId="9642" priority="97">
      <formula>AND(B$9&gt;=8/24,B$9&lt;14/24)</formula>
    </cfRule>
    <cfRule type="expression" dxfId="9641" priority="98">
      <formula>B$9&lt;8/24</formula>
    </cfRule>
  </conditionalFormatting>
  <conditionalFormatting sqref="B110">
    <cfRule type="expression" dxfId="9640" priority="91">
      <formula>B$9&gt;=20/24</formula>
    </cfRule>
    <cfRule type="expression" dxfId="9639" priority="92">
      <formula>AND(B$9&gt;=14/24,B$9&lt;20/24)</formula>
    </cfRule>
    <cfRule type="expression" dxfId="9638" priority="93">
      <formula>AND(B$9&gt;=8/24,B$9&lt;14/24)</formula>
    </cfRule>
    <cfRule type="expression" dxfId="9637" priority="94">
      <formula>B$9&lt;8/24</formula>
    </cfRule>
  </conditionalFormatting>
  <conditionalFormatting sqref="B83:B85 B75:D76 E76:O76">
    <cfRule type="expression" dxfId="9636" priority="87">
      <formula>B$9&gt;=20/24</formula>
    </cfRule>
    <cfRule type="expression" dxfId="9635" priority="88">
      <formula>AND(B$9&gt;=14/24,B$9&lt;20/24)</formula>
    </cfRule>
    <cfRule type="expression" dxfId="9634" priority="89">
      <formula>AND(B$9&gt;=8/24,B$9&lt;14/24)</formula>
    </cfRule>
    <cfRule type="expression" dxfId="9633" priority="90">
      <formula>B$9&lt;8/24</formula>
    </cfRule>
  </conditionalFormatting>
  <conditionalFormatting sqref="B89 B98 B70 B87">
    <cfRule type="expression" dxfId="9632" priority="83">
      <formula>B$9&gt;=20/24</formula>
    </cfRule>
    <cfRule type="expression" dxfId="9631" priority="84">
      <formula>AND(B$9&gt;=14/24,B$9&lt;20/24)</formula>
    </cfRule>
    <cfRule type="expression" dxfId="9630" priority="85">
      <formula>AND(B$9&gt;=8/24,B$9&lt;14/24)</formula>
    </cfRule>
    <cfRule type="expression" dxfId="9629" priority="86">
      <formula>B$9&lt;8/24</formula>
    </cfRule>
  </conditionalFormatting>
  <conditionalFormatting sqref="B48 B65:B66 B70">
    <cfRule type="expression" dxfId="9628" priority="82">
      <formula>B48&gt;$AG48</formula>
    </cfRule>
  </conditionalFormatting>
  <conditionalFormatting sqref="B82">
    <cfRule type="expression" dxfId="9627" priority="78">
      <formula>B$9&gt;=20/24</formula>
    </cfRule>
    <cfRule type="expression" dxfId="9626" priority="79">
      <formula>AND(B$9&gt;=14/24,B$9&lt;20/24)</formula>
    </cfRule>
    <cfRule type="expression" dxfId="9625" priority="80">
      <formula>AND(B$9&gt;=8/24,B$9&lt;14/24)</formula>
    </cfRule>
    <cfRule type="expression" dxfId="9624" priority="81">
      <formula>B$9&lt;8/24</formula>
    </cfRule>
  </conditionalFormatting>
  <conditionalFormatting sqref="B52">
    <cfRule type="expression" dxfId="9623" priority="74">
      <formula>B$9&gt;=20/24</formula>
    </cfRule>
    <cfRule type="expression" dxfId="9622" priority="75">
      <formula>AND(B$9&gt;=14/24,B$9&lt;20/24)</formula>
    </cfRule>
    <cfRule type="expression" dxfId="9621" priority="76">
      <formula>AND(B$9&gt;=8/24,B$9&lt;14/24)</formula>
    </cfRule>
    <cfRule type="expression" dxfId="9620" priority="77">
      <formula>B$9&lt;8/24</formula>
    </cfRule>
  </conditionalFormatting>
  <conditionalFormatting sqref="B52">
    <cfRule type="expression" dxfId="9619" priority="73">
      <formula>B52&gt;$AG52</formula>
    </cfRule>
  </conditionalFormatting>
  <conditionalFormatting sqref="B59:M64">
    <cfRule type="expression" dxfId="9618" priority="65">
      <formula>B$9&gt;=20/24</formula>
    </cfRule>
    <cfRule type="expression" dxfId="9617" priority="66">
      <formula>AND(B$9&gt;=14/24,B$9&lt;20/24)</formula>
    </cfRule>
    <cfRule type="expression" dxfId="9616" priority="67">
      <formula>AND(B$9&gt;=8/24,B$9&lt;14/24)</formula>
    </cfRule>
    <cfRule type="expression" dxfId="9615" priority="68">
      <formula>B$9&lt;8/24</formula>
    </cfRule>
  </conditionalFormatting>
  <conditionalFormatting sqref="B59:M64">
    <cfRule type="expression" dxfId="9614" priority="64">
      <formula>B59&gt;$AG59</formula>
    </cfRule>
  </conditionalFormatting>
  <conditionalFormatting sqref="B77:M81">
    <cfRule type="expression" dxfId="9613" priority="60">
      <formula>B$9&gt;=20/24</formula>
    </cfRule>
    <cfRule type="expression" dxfId="9612" priority="61">
      <formula>AND(B$9&gt;=14/24,B$9&lt;20/24)</formula>
    </cfRule>
    <cfRule type="expression" dxfId="9611" priority="62">
      <formula>AND(B$9&gt;=8/24,B$9&lt;14/24)</formula>
    </cfRule>
    <cfRule type="expression" dxfId="9610" priority="63">
      <formula>B$9&lt;8/24</formula>
    </cfRule>
  </conditionalFormatting>
  <conditionalFormatting sqref="A11">
    <cfRule type="expression" dxfId="9609" priority="59">
      <formula>$AH11=0</formula>
    </cfRule>
  </conditionalFormatting>
  <conditionalFormatting sqref="N11:AF11">
    <cfRule type="expression" dxfId="9608" priority="55">
      <formula>N$9&gt;=20/24</formula>
    </cfRule>
    <cfRule type="expression" dxfId="9607" priority="56">
      <formula>AND(N$9&gt;=14/24,N$9&lt;20/24)</formula>
    </cfRule>
    <cfRule type="expression" dxfId="9606" priority="57">
      <formula>AND(N$9&gt;=8/24,N$9&lt;14/24)</formula>
    </cfRule>
    <cfRule type="expression" dxfId="9605" priority="58">
      <formula>N$9&lt;8/24</formula>
    </cfRule>
  </conditionalFormatting>
  <conditionalFormatting sqref="N11:AF11">
    <cfRule type="expression" dxfId="9604" priority="54">
      <formula>N11&gt;$AG11</formula>
    </cfRule>
  </conditionalFormatting>
  <conditionalFormatting sqref="B11:M11">
    <cfRule type="expression" dxfId="9603" priority="50">
      <formula>B$9&gt;=20/24</formula>
    </cfRule>
    <cfRule type="expression" dxfId="9602" priority="51">
      <formula>AND(B$9&gt;=14/24,B$9&lt;20/24)</formula>
    </cfRule>
    <cfRule type="expression" dxfId="9601" priority="52">
      <formula>AND(B$9&gt;=8/24,B$9&lt;14/24)</formula>
    </cfRule>
    <cfRule type="expression" dxfId="9600" priority="53">
      <formula>B$9&lt;8/24</formula>
    </cfRule>
  </conditionalFormatting>
  <conditionalFormatting sqref="B11:M11">
    <cfRule type="expression" dxfId="9599" priority="49">
      <formula>B11&gt;$AG11</formula>
    </cfRule>
  </conditionalFormatting>
  <conditionalFormatting sqref="A16">
    <cfRule type="expression" dxfId="9598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N16:AF16">
    <cfRule type="expression" dxfId="9597" priority="43">
      <formula>N$9&gt;=20/24</formula>
    </cfRule>
    <cfRule type="expression" dxfId="9596" priority="44">
      <formula>AND(N$9&gt;=14/24,N$9&lt;20/24)</formula>
    </cfRule>
    <cfRule type="expression" dxfId="9595" priority="45">
      <formula>AND(N$9&gt;=8/24,N$9&lt;14/24)</formula>
    </cfRule>
    <cfRule type="expression" dxfId="9594" priority="46">
      <formula>N$9&lt;8/24</formula>
    </cfRule>
  </conditionalFormatting>
  <conditionalFormatting sqref="N16:AF16">
    <cfRule type="expression" dxfId="9593" priority="42">
      <formula>N16&gt;$AG16</formula>
    </cfRule>
  </conditionalFormatting>
  <conditionalFormatting sqref="B16:M16">
    <cfRule type="expression" dxfId="9592" priority="38">
      <formula>B$9&gt;=20/24</formula>
    </cfRule>
    <cfRule type="expression" dxfId="9591" priority="39">
      <formula>AND(B$9&gt;=14/24,B$9&lt;20/24)</formula>
    </cfRule>
    <cfRule type="expression" dxfId="9590" priority="40">
      <formula>AND(B$9&gt;=8/24,B$9&lt;14/24)</formula>
    </cfRule>
    <cfRule type="expression" dxfId="9589" priority="41">
      <formula>B$9&lt;8/24</formula>
    </cfRule>
  </conditionalFormatting>
  <conditionalFormatting sqref="B16:M16">
    <cfRule type="expression" dxfId="9588" priority="37">
      <formula>B16&gt;$AG16</formula>
    </cfRule>
  </conditionalFormatting>
  <conditionalFormatting sqref="A33">
    <cfRule type="expression" dxfId="9587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B33:AF33">
    <cfRule type="expression" dxfId="9586" priority="26">
      <formula>B$9&gt;=20/24</formula>
    </cfRule>
    <cfRule type="expression" dxfId="9585" priority="27">
      <formula>AND(B$9&gt;=14/24,B$9&lt;20/24)</formula>
    </cfRule>
    <cfRule type="expression" dxfId="9584" priority="28">
      <formula>AND(B$9&gt;=8/24,B$9&lt;14/24)</formula>
    </cfRule>
    <cfRule type="expression" dxfId="9583" priority="29">
      <formula>B$9&lt;8/24</formula>
    </cfRule>
  </conditionalFormatting>
  <conditionalFormatting sqref="B33:AF33">
    <cfRule type="expression" dxfId="9582" priority="25">
      <formula>B33&gt;$AG33</formula>
    </cfRule>
  </conditionalFormatting>
  <conditionalFormatting sqref="A44">
    <cfRule type="expression" dxfId="9581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B44:AF44">
    <cfRule type="expression" dxfId="9580" priority="14">
      <formula>B$9&gt;=20/24</formula>
    </cfRule>
    <cfRule type="expression" dxfId="9579" priority="15">
      <formula>AND(B$9&gt;=14/24,B$9&lt;20/24)</formula>
    </cfRule>
    <cfRule type="expression" dxfId="9578" priority="16">
      <formula>AND(B$9&gt;=8/24,B$9&lt;14/24)</formula>
    </cfRule>
    <cfRule type="expression" dxfId="9577" priority="17">
      <formula>B$9&lt;8/24</formula>
    </cfRule>
  </conditionalFormatting>
  <conditionalFormatting sqref="B44:AF44">
    <cfRule type="expression" dxfId="9576" priority="13">
      <formula>B44&gt;$AG44</formula>
    </cfRule>
  </conditionalFormatting>
  <conditionalFormatting sqref="B117">
    <cfRule type="expression" dxfId="9575" priority="1">
      <formula>B$9&gt;=20/24</formula>
    </cfRule>
    <cfRule type="expression" dxfId="9574" priority="2">
      <formula>AND(B$9&gt;=14/24,B$9&lt;20/24)</formula>
    </cfRule>
    <cfRule type="expression" dxfId="9573" priority="3">
      <formula>AND(B$9&gt;=8/24,B$9&lt;14/24)</formula>
    </cfRule>
    <cfRule type="expression" dxfId="9572" priority="4">
      <formula>B$9&lt;8/24</formula>
    </cfRule>
  </conditionalFormatting>
  <conditionalFormatting sqref="D117:AF117">
    <cfRule type="expression" dxfId="9571" priority="9">
      <formula>D$9&gt;=20/24</formula>
    </cfRule>
    <cfRule type="expression" dxfId="9570" priority="10">
      <formula>AND(D$9&gt;=14/24,D$9&lt;20/24)</formula>
    </cfRule>
    <cfRule type="expression" dxfId="9569" priority="11">
      <formula>AND(D$9&gt;=8/24,D$9&lt;14/24)</formula>
    </cfRule>
    <cfRule type="expression" dxfId="9568" priority="12">
      <formula>D$9&lt;8/24</formula>
    </cfRule>
  </conditionalFormatting>
  <conditionalFormatting sqref="C117">
    <cfRule type="expression" dxfId="9567" priority="5">
      <formula>C$9&gt;=20/24</formula>
    </cfRule>
    <cfRule type="expression" dxfId="9566" priority="6">
      <formula>AND(C$9&gt;=14/24,C$9&lt;20/24)</formula>
    </cfRule>
    <cfRule type="expression" dxfId="9565" priority="7">
      <formula>AND(C$9&gt;=8/24,C$9&lt;14/24)</formula>
    </cfRule>
    <cfRule type="expression" dxfId="9564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E8A8BD92-4107-4205-82A1-C5132A4161F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55BC1CDC-64B4-4C56-A33F-BEE058E267AC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1DA5D777-0722-42C3-8628-23F139C4599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8FDDB858-8212-47A4-8C99-18192A0EC0C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D9837621-D10F-4690-B37D-13A03B95CAD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A59D7892-133D-4BF7-91B6-267DF0A00F9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A3923813-9DFA-4CC9-84ED-26FE08FC2CE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1EC22954-0F04-4EB6-94D3-DBF14097EC1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workbookViewId="0">
      <pane ySplit="10" topLeftCell="A69" activePane="bottomLeft" state="frozen"/>
      <selection activeCell="Z85" sqref="Z85"/>
      <selection pane="bottomLeft" activeCell="W125" sqref="W125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2079/12/2</v>
      </c>
      <c r="C4" s="236"/>
      <c r="D4" s="236"/>
      <c r="E4" s="237" t="str">
        <f ca="1">"2079/"&amp;"12/"&amp;INT(MID(CELL("filename",G6),FIND("]",CELL("filename",G6))+1,200))</f>
        <v>2079/12/2</v>
      </c>
      <c r="F4" s="237"/>
      <c r="G4" s="237"/>
      <c r="H4" s="237" t="str">
        <f ca="1">TEXT(E4,"dddd")</f>
        <v>Saturday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389</v>
      </c>
      <c r="C5" s="33">
        <f t="shared" si="0"/>
        <v>389</v>
      </c>
      <c r="D5" s="33">
        <f t="shared" si="0"/>
        <v>429.8</v>
      </c>
      <c r="E5" s="33">
        <f t="shared" si="0"/>
        <v>492.4</v>
      </c>
      <c r="F5" s="33">
        <f t="shared" si="0"/>
        <v>464.5</v>
      </c>
      <c r="G5" s="33">
        <f t="shared" si="0"/>
        <v>424.7</v>
      </c>
      <c r="H5" s="33">
        <f t="shared" si="0"/>
        <v>408.7</v>
      </c>
      <c r="I5" s="33">
        <f t="shared" si="0"/>
        <v>540.70000000000005</v>
      </c>
      <c r="J5" s="33">
        <f t="shared" si="0"/>
        <v>531.29999999999995</v>
      </c>
      <c r="K5" s="33">
        <f t="shared" si="0"/>
        <v>488.09999999999997</v>
      </c>
      <c r="L5" s="33">
        <f t="shared" si="0"/>
        <v>508</v>
      </c>
      <c r="M5" s="33">
        <f t="shared" si="0"/>
        <v>486.5</v>
      </c>
      <c r="N5" s="33">
        <f t="shared" si="0"/>
        <v>517</v>
      </c>
      <c r="O5" s="33">
        <f t="shared" si="0"/>
        <v>523.4</v>
      </c>
      <c r="P5" s="33">
        <f t="shared" si="0"/>
        <v>528.5</v>
      </c>
      <c r="Q5" s="33">
        <f t="shared" si="0"/>
        <v>545.9</v>
      </c>
      <c r="R5" s="33">
        <f t="shared" si="0"/>
        <v>525.4</v>
      </c>
      <c r="S5" s="33">
        <f t="shared" si="0"/>
        <v>608.30000000000007</v>
      </c>
      <c r="T5" s="33">
        <f t="shared" si="0"/>
        <v>598</v>
      </c>
      <c r="U5" s="33">
        <f t="shared" si="0"/>
        <v>595.90000000000009</v>
      </c>
      <c r="V5" s="33">
        <f t="shared" si="0"/>
        <v>571.90000000000009</v>
      </c>
      <c r="W5" s="33">
        <f t="shared" si="0"/>
        <v>564</v>
      </c>
      <c r="X5" s="33">
        <f t="shared" si="0"/>
        <v>559.69999999999993</v>
      </c>
      <c r="Y5" s="33">
        <f t="shared" si="0"/>
        <v>403.9</v>
      </c>
      <c r="Z5" s="33">
        <f t="shared" si="0"/>
        <v>362.9</v>
      </c>
      <c r="AA5" s="33">
        <f t="shared" si="0"/>
        <v>380.8</v>
      </c>
      <c r="AB5" s="33">
        <f t="shared" si="0"/>
        <v>393.1</v>
      </c>
      <c r="AC5" s="33">
        <f t="shared" si="0"/>
        <v>436.79999999999995</v>
      </c>
      <c r="AD5" s="33">
        <f t="shared" si="0"/>
        <v>421.6</v>
      </c>
      <c r="AE5" s="33">
        <f t="shared" si="0"/>
        <v>421.6</v>
      </c>
      <c r="AF5" s="33">
        <f>B82</f>
        <v>449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1275MW at 8:00hr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Load=1072</v>
      </c>
      <c r="B7" s="38">
        <f t="shared" ref="B7:AF7" si="1">B89</f>
        <v>1287.1399999999999</v>
      </c>
      <c r="C7" s="38">
        <f t="shared" si="1"/>
        <v>1125.24</v>
      </c>
      <c r="D7" s="38">
        <f t="shared" si="1"/>
        <v>1124.24</v>
      </c>
      <c r="E7" s="38">
        <f t="shared" si="1"/>
        <v>1113.8399999999999</v>
      </c>
      <c r="F7" s="38">
        <f t="shared" si="1"/>
        <v>1099.74</v>
      </c>
      <c r="G7" s="38">
        <f t="shared" si="1"/>
        <v>1071.8400000000001</v>
      </c>
      <c r="H7" s="38">
        <f t="shared" si="1"/>
        <v>1098.74</v>
      </c>
      <c r="I7" s="38">
        <f t="shared" si="1"/>
        <v>1085.9399999999998</v>
      </c>
      <c r="J7" s="38">
        <f t="shared" si="1"/>
        <v>1166.1399999999999</v>
      </c>
      <c r="K7" s="38">
        <f t="shared" si="1"/>
        <v>1219.7399999999998</v>
      </c>
      <c r="L7" s="38">
        <f t="shared" si="1"/>
        <v>1212.04</v>
      </c>
      <c r="M7" s="38">
        <f t="shared" si="1"/>
        <v>1275.4000000000001</v>
      </c>
      <c r="N7" s="38">
        <f>N89</f>
        <v>1238.8399999999999</v>
      </c>
      <c r="O7" s="38">
        <f t="shared" si="1"/>
        <v>1271.3399999999999</v>
      </c>
      <c r="P7" s="38">
        <f t="shared" si="1"/>
        <v>1308.94</v>
      </c>
      <c r="Q7" s="38">
        <f t="shared" si="1"/>
        <v>1301.74</v>
      </c>
      <c r="R7" s="38">
        <f t="shared" si="1"/>
        <v>1323.2399999999998</v>
      </c>
      <c r="S7" s="38">
        <f t="shared" si="1"/>
        <v>1348.44</v>
      </c>
      <c r="T7" s="38">
        <f t="shared" si="1"/>
        <v>1374.1399999999999</v>
      </c>
      <c r="U7" s="38">
        <f t="shared" si="1"/>
        <v>1352.04</v>
      </c>
      <c r="V7" s="38">
        <f t="shared" si="1"/>
        <v>1321.14</v>
      </c>
      <c r="W7" s="38">
        <f t="shared" si="1"/>
        <v>1478.3400000000001</v>
      </c>
      <c r="X7" s="38">
        <f t="shared" si="1"/>
        <v>1463.24</v>
      </c>
      <c r="Y7" s="38">
        <f t="shared" si="1"/>
        <v>1554.1399999999999</v>
      </c>
      <c r="Z7" s="38">
        <f t="shared" si="1"/>
        <v>1700.1399999999999</v>
      </c>
      <c r="AA7" s="38">
        <f t="shared" si="1"/>
        <v>1687.1399999999999</v>
      </c>
      <c r="AB7" s="38">
        <f t="shared" si="1"/>
        <v>1620.1399999999999</v>
      </c>
      <c r="AC7" s="38">
        <f t="shared" si="1"/>
        <v>1591.6399999999999</v>
      </c>
      <c r="AD7" s="38">
        <f t="shared" si="1"/>
        <v>1539.84</v>
      </c>
      <c r="AE7" s="38">
        <f t="shared" si="1"/>
        <v>1424.1399999999999</v>
      </c>
      <c r="AF7" s="38">
        <f t="shared" si="1"/>
        <v>1224.1399999999999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23.6</v>
      </c>
      <c r="C11" s="50">
        <v>23.6</v>
      </c>
      <c r="D11" s="50">
        <v>23.6</v>
      </c>
      <c r="E11" s="50">
        <v>23.6</v>
      </c>
      <c r="F11" s="50">
        <v>23.6</v>
      </c>
      <c r="G11" s="50">
        <v>23.6</v>
      </c>
      <c r="H11" s="50">
        <v>23.6</v>
      </c>
      <c r="I11" s="50">
        <v>23.6</v>
      </c>
      <c r="J11" s="50">
        <v>23.6</v>
      </c>
      <c r="K11" s="50">
        <v>23.9</v>
      </c>
      <c r="L11" s="50">
        <v>24</v>
      </c>
      <c r="M11" s="50">
        <v>24</v>
      </c>
      <c r="N11" s="50">
        <v>24</v>
      </c>
      <c r="O11" s="50">
        <v>24</v>
      </c>
      <c r="P11" s="50">
        <v>24</v>
      </c>
      <c r="Q11" s="50">
        <v>24</v>
      </c>
      <c r="R11" s="50">
        <v>24</v>
      </c>
      <c r="S11" s="50">
        <v>24</v>
      </c>
      <c r="T11" s="50">
        <v>24</v>
      </c>
      <c r="U11" s="50">
        <v>24</v>
      </c>
      <c r="V11" s="50">
        <v>24</v>
      </c>
      <c r="W11" s="50">
        <v>24</v>
      </c>
      <c r="X11" s="50">
        <v>24</v>
      </c>
      <c r="Y11" s="50">
        <v>24</v>
      </c>
      <c r="Z11" s="50">
        <v>24</v>
      </c>
      <c r="AA11" s="50">
        <v>24</v>
      </c>
      <c r="AB11" s="50">
        <v>20</v>
      </c>
      <c r="AC11" s="50">
        <v>20</v>
      </c>
      <c r="AD11" s="50">
        <v>20</v>
      </c>
      <c r="AE11" s="50">
        <v>20</v>
      </c>
      <c r="AF11" s="50">
        <v>20</v>
      </c>
      <c r="AG11" s="51">
        <v>86</v>
      </c>
      <c r="AH11" s="52">
        <f t="shared" ref="AH11:AH74" si="2">MAX(B11:AF11)</f>
        <v>24</v>
      </c>
      <c r="AI11" s="53">
        <f t="shared" ref="AI11:AI74" si="3">MIN(B11:AF11)</f>
        <v>20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13</v>
      </c>
      <c r="C12" s="50">
        <v>13</v>
      </c>
      <c r="D12" s="50">
        <v>13</v>
      </c>
      <c r="E12" s="50">
        <v>13</v>
      </c>
      <c r="F12" s="50">
        <v>13</v>
      </c>
      <c r="G12" s="50">
        <v>13</v>
      </c>
      <c r="H12" s="50">
        <v>13</v>
      </c>
      <c r="I12" s="50">
        <v>15.2</v>
      </c>
      <c r="J12" s="50">
        <v>15.2</v>
      </c>
      <c r="K12" s="50">
        <v>15.2</v>
      </c>
      <c r="L12" s="50">
        <v>16.2</v>
      </c>
      <c r="M12" s="50">
        <v>16.2</v>
      </c>
      <c r="N12" s="50">
        <v>16.2</v>
      </c>
      <c r="O12" s="50">
        <v>16.2</v>
      </c>
      <c r="P12" s="50">
        <v>16.2</v>
      </c>
      <c r="Q12" s="50">
        <v>16.2</v>
      </c>
      <c r="R12" s="50">
        <v>16.2</v>
      </c>
      <c r="S12" s="50">
        <v>16.2</v>
      </c>
      <c r="T12" s="50">
        <v>16.2</v>
      </c>
      <c r="U12" s="50">
        <v>16.2</v>
      </c>
      <c r="V12" s="50">
        <v>16.2</v>
      </c>
      <c r="W12" s="50">
        <v>16.2</v>
      </c>
      <c r="X12" s="50">
        <v>16.2</v>
      </c>
      <c r="Y12" s="50">
        <v>16.2</v>
      </c>
      <c r="Z12" s="50">
        <v>16.2</v>
      </c>
      <c r="AA12" s="50">
        <v>16.2</v>
      </c>
      <c r="AB12" s="50">
        <v>16.2</v>
      </c>
      <c r="AC12" s="50">
        <v>16.2</v>
      </c>
      <c r="AD12" s="50">
        <v>14.2</v>
      </c>
      <c r="AE12" s="50">
        <v>14.2</v>
      </c>
      <c r="AF12" s="50">
        <v>14.2</v>
      </c>
      <c r="AG12" s="51">
        <v>52.4</v>
      </c>
      <c r="AH12" s="52">
        <f t="shared" si="2"/>
        <v>16.2</v>
      </c>
      <c r="AI12" s="53">
        <f t="shared" si="3"/>
        <v>13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31.6</v>
      </c>
      <c r="C13" s="50">
        <v>31.6</v>
      </c>
      <c r="D13" s="50">
        <v>31.6</v>
      </c>
      <c r="E13" s="50">
        <v>31.6</v>
      </c>
      <c r="F13" s="50">
        <v>35.6</v>
      </c>
      <c r="G13" s="50">
        <v>35.6</v>
      </c>
      <c r="H13" s="50">
        <v>35.6</v>
      </c>
      <c r="I13" s="50">
        <v>35.6</v>
      </c>
      <c r="J13" s="50">
        <v>35.6</v>
      </c>
      <c r="K13" s="50">
        <v>35.6</v>
      </c>
      <c r="L13" s="50">
        <v>36</v>
      </c>
      <c r="M13" s="50">
        <v>36</v>
      </c>
      <c r="N13" s="50">
        <v>36</v>
      </c>
      <c r="O13" s="50">
        <v>36</v>
      </c>
      <c r="P13" s="50">
        <v>36</v>
      </c>
      <c r="Q13" s="50">
        <v>36</v>
      </c>
      <c r="R13" s="50">
        <v>36</v>
      </c>
      <c r="S13" s="50">
        <v>36</v>
      </c>
      <c r="T13" s="50">
        <v>36</v>
      </c>
      <c r="U13" s="50">
        <v>36</v>
      </c>
      <c r="V13" s="50">
        <v>36</v>
      </c>
      <c r="W13" s="50">
        <v>36</v>
      </c>
      <c r="X13" s="50">
        <v>36</v>
      </c>
      <c r="Y13" s="50">
        <v>36</v>
      </c>
      <c r="Z13" s="50">
        <v>36</v>
      </c>
      <c r="AA13" s="50">
        <v>36</v>
      </c>
      <c r="AB13" s="50">
        <v>36</v>
      </c>
      <c r="AC13" s="50">
        <v>36</v>
      </c>
      <c r="AD13" s="50">
        <v>33.700000000000003</v>
      </c>
      <c r="AE13" s="50">
        <v>33.700000000000003</v>
      </c>
      <c r="AF13" s="50">
        <v>33.700000000000003</v>
      </c>
      <c r="AG13" s="55">
        <v>50</v>
      </c>
      <c r="AH13" s="52">
        <f t="shared" si="2"/>
        <v>36</v>
      </c>
      <c r="AI13" s="53">
        <f t="shared" si="3"/>
        <v>31.6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16.2</v>
      </c>
      <c r="C14" s="50">
        <v>16.2</v>
      </c>
      <c r="D14" s="50">
        <v>16.2</v>
      </c>
      <c r="E14" s="50">
        <v>16.2</v>
      </c>
      <c r="F14" s="50">
        <v>16.2</v>
      </c>
      <c r="G14" s="50">
        <v>16.2</v>
      </c>
      <c r="H14" s="50">
        <v>16.2</v>
      </c>
      <c r="I14" s="50">
        <v>16.2</v>
      </c>
      <c r="J14" s="50">
        <v>16.2</v>
      </c>
      <c r="K14" s="50">
        <v>17.600000000000001</v>
      </c>
      <c r="L14" s="50">
        <v>18.7</v>
      </c>
      <c r="M14" s="50">
        <v>18.7</v>
      </c>
      <c r="N14" s="50">
        <v>18.7</v>
      </c>
      <c r="O14" s="50">
        <v>18.7</v>
      </c>
      <c r="P14" s="50">
        <v>18.7</v>
      </c>
      <c r="Q14" s="50">
        <v>18.7</v>
      </c>
      <c r="R14" s="50">
        <v>18.7</v>
      </c>
      <c r="S14" s="50">
        <v>18.7</v>
      </c>
      <c r="T14" s="50">
        <v>18.7</v>
      </c>
      <c r="U14" s="50">
        <v>18.7</v>
      </c>
      <c r="V14" s="50">
        <v>18.7</v>
      </c>
      <c r="W14" s="50">
        <v>18.7</v>
      </c>
      <c r="X14" s="50">
        <v>18.7</v>
      </c>
      <c r="Y14" s="50">
        <v>18.7</v>
      </c>
      <c r="Z14" s="50">
        <v>18.7</v>
      </c>
      <c r="AA14" s="50">
        <v>18.7</v>
      </c>
      <c r="AB14" s="50">
        <v>18.7</v>
      </c>
      <c r="AC14" s="50">
        <v>18.7</v>
      </c>
      <c r="AD14" s="50">
        <v>17.5</v>
      </c>
      <c r="AE14" s="50">
        <v>17.5</v>
      </c>
      <c r="AF14" s="50">
        <v>17.5</v>
      </c>
      <c r="AG14" s="55">
        <v>45</v>
      </c>
      <c r="AH14" s="52">
        <f t="shared" si="2"/>
        <v>18.7</v>
      </c>
      <c r="AI14" s="53">
        <f t="shared" si="3"/>
        <v>16.2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10</v>
      </c>
      <c r="C15" s="50">
        <v>10</v>
      </c>
      <c r="D15" s="50">
        <v>10</v>
      </c>
      <c r="E15" s="50">
        <v>10</v>
      </c>
      <c r="F15" s="50">
        <v>10</v>
      </c>
      <c r="G15" s="50">
        <v>10</v>
      </c>
      <c r="H15" s="50">
        <v>10</v>
      </c>
      <c r="I15" s="50">
        <v>10</v>
      </c>
      <c r="J15" s="50">
        <v>10</v>
      </c>
      <c r="K15" s="50">
        <v>9.6</v>
      </c>
      <c r="L15" s="50">
        <v>11</v>
      </c>
      <c r="M15" s="50">
        <v>11</v>
      </c>
      <c r="N15" s="50">
        <v>11</v>
      </c>
      <c r="O15" s="50">
        <v>11</v>
      </c>
      <c r="P15" s="50">
        <v>11</v>
      </c>
      <c r="Q15" s="50">
        <v>11</v>
      </c>
      <c r="R15" s="50">
        <v>11</v>
      </c>
      <c r="S15" s="50">
        <v>11</v>
      </c>
      <c r="T15" s="50">
        <v>11</v>
      </c>
      <c r="U15" s="50">
        <v>11</v>
      </c>
      <c r="V15" s="50">
        <v>11</v>
      </c>
      <c r="W15" s="50">
        <v>11</v>
      </c>
      <c r="X15" s="50">
        <v>11</v>
      </c>
      <c r="Y15" s="50">
        <v>11</v>
      </c>
      <c r="Z15" s="50">
        <v>11</v>
      </c>
      <c r="AA15" s="50">
        <v>11</v>
      </c>
      <c r="AB15" s="50">
        <v>11</v>
      </c>
      <c r="AC15" s="50">
        <v>11</v>
      </c>
      <c r="AD15" s="50">
        <v>10.5</v>
      </c>
      <c r="AE15" s="50">
        <v>10.5</v>
      </c>
      <c r="AF15" s="50">
        <v>10.5</v>
      </c>
      <c r="AG15" s="55">
        <v>42</v>
      </c>
      <c r="AH15" s="52">
        <f t="shared" si="2"/>
        <v>11</v>
      </c>
      <c r="AI15" s="53">
        <f t="shared" si="3"/>
        <v>9.6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11.5</v>
      </c>
      <c r="C16" s="50">
        <v>11.5</v>
      </c>
      <c r="D16" s="50">
        <v>11.5</v>
      </c>
      <c r="E16" s="50">
        <v>11.5</v>
      </c>
      <c r="F16" s="50">
        <v>11.5</v>
      </c>
      <c r="G16" s="50">
        <v>11.5</v>
      </c>
      <c r="H16" s="50">
        <v>11.5</v>
      </c>
      <c r="I16" s="50">
        <v>11.5</v>
      </c>
      <c r="J16" s="50">
        <v>11.5</v>
      </c>
      <c r="K16" s="50">
        <v>11.5</v>
      </c>
      <c r="L16" s="50">
        <v>11.5</v>
      </c>
      <c r="M16" s="50">
        <v>11.5</v>
      </c>
      <c r="N16" s="50">
        <v>11.5</v>
      </c>
      <c r="O16" s="50">
        <v>11.5</v>
      </c>
      <c r="P16" s="50">
        <v>11.5</v>
      </c>
      <c r="Q16" s="50">
        <v>11.5</v>
      </c>
      <c r="R16" s="50">
        <v>11.5</v>
      </c>
      <c r="S16" s="50">
        <v>11.5</v>
      </c>
      <c r="T16" s="50">
        <v>11.5</v>
      </c>
      <c r="U16" s="50">
        <v>11.5</v>
      </c>
      <c r="V16" s="50">
        <v>11.5</v>
      </c>
      <c r="W16" s="50">
        <v>11.5</v>
      </c>
      <c r="X16" s="50">
        <v>11.5</v>
      </c>
      <c r="Y16" s="50">
        <v>11.5</v>
      </c>
      <c r="Z16" s="50">
        <v>11.5</v>
      </c>
      <c r="AA16" s="50">
        <v>11.5</v>
      </c>
      <c r="AB16" s="50">
        <v>11.5</v>
      </c>
      <c r="AC16" s="50">
        <v>11.5</v>
      </c>
      <c r="AD16" s="50">
        <v>11.5</v>
      </c>
      <c r="AE16" s="50">
        <v>11.5</v>
      </c>
      <c r="AF16" s="50">
        <v>11.5</v>
      </c>
      <c r="AG16" s="55">
        <v>36</v>
      </c>
      <c r="AH16" s="52">
        <f t="shared" si="2"/>
        <v>11.5</v>
      </c>
      <c r="AI16" s="53">
        <f t="shared" si="3"/>
        <v>11.5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9.3000000000000007</v>
      </c>
      <c r="C18" s="50">
        <v>9.3000000000000007</v>
      </c>
      <c r="D18" s="50">
        <v>9.3000000000000007</v>
      </c>
      <c r="E18" s="50">
        <v>9.3000000000000007</v>
      </c>
      <c r="F18" s="50">
        <v>9.3000000000000007</v>
      </c>
      <c r="G18" s="50">
        <v>9.3000000000000007</v>
      </c>
      <c r="H18" s="50">
        <v>9.3000000000000007</v>
      </c>
      <c r="I18" s="50">
        <v>9.3000000000000007</v>
      </c>
      <c r="J18" s="50">
        <v>9.3000000000000007</v>
      </c>
      <c r="K18" s="50">
        <v>9.3000000000000007</v>
      </c>
      <c r="L18" s="50">
        <v>9.3000000000000007</v>
      </c>
      <c r="M18" s="50">
        <v>9.3000000000000007</v>
      </c>
      <c r="N18" s="50">
        <v>9.3000000000000007</v>
      </c>
      <c r="O18" s="50">
        <v>9.3000000000000007</v>
      </c>
      <c r="P18" s="50">
        <v>9.3000000000000007</v>
      </c>
      <c r="Q18" s="50">
        <v>9.3000000000000007</v>
      </c>
      <c r="R18" s="50">
        <v>9.3000000000000007</v>
      </c>
      <c r="S18" s="50">
        <v>9.3000000000000007</v>
      </c>
      <c r="T18" s="50">
        <v>9.3000000000000007</v>
      </c>
      <c r="U18" s="50">
        <v>9.3000000000000007</v>
      </c>
      <c r="V18" s="50">
        <v>9.3000000000000007</v>
      </c>
      <c r="W18" s="50">
        <v>9.3000000000000007</v>
      </c>
      <c r="X18" s="50">
        <v>9.3000000000000007</v>
      </c>
      <c r="Y18" s="50">
        <v>9.3000000000000007</v>
      </c>
      <c r="Z18" s="50">
        <v>9.3000000000000007</v>
      </c>
      <c r="AA18" s="50">
        <v>9.3000000000000007</v>
      </c>
      <c r="AB18" s="50">
        <v>9.3000000000000007</v>
      </c>
      <c r="AC18" s="50">
        <v>9.3000000000000007</v>
      </c>
      <c r="AD18" s="50">
        <v>10.6</v>
      </c>
      <c r="AE18" s="50">
        <v>10.6</v>
      </c>
      <c r="AF18" s="50">
        <v>10.6</v>
      </c>
      <c r="AG18" s="56">
        <v>30</v>
      </c>
      <c r="AH18" s="52">
        <f t="shared" si="2"/>
        <v>10.6</v>
      </c>
      <c r="AI18" s="53">
        <f t="shared" si="3"/>
        <v>9.3000000000000007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6.6</v>
      </c>
      <c r="C19" s="50">
        <v>6.6</v>
      </c>
      <c r="D19" s="50">
        <v>6.6</v>
      </c>
      <c r="E19" s="50">
        <v>6.6</v>
      </c>
      <c r="F19" s="50">
        <v>6.6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6.6</v>
      </c>
      <c r="N19" s="50">
        <v>6.6</v>
      </c>
      <c r="O19" s="50">
        <v>6.6</v>
      </c>
      <c r="P19" s="50">
        <v>6.6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6.6</v>
      </c>
      <c r="AA19" s="50">
        <v>6.6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6.6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9</v>
      </c>
      <c r="C20" s="50">
        <v>9</v>
      </c>
      <c r="D20" s="50">
        <v>9</v>
      </c>
      <c r="E20" s="50">
        <v>9</v>
      </c>
      <c r="F20" s="50">
        <v>9</v>
      </c>
      <c r="G20" s="50">
        <v>9</v>
      </c>
      <c r="H20" s="50">
        <v>9</v>
      </c>
      <c r="I20" s="50">
        <v>9</v>
      </c>
      <c r="J20" s="50">
        <v>9</v>
      </c>
      <c r="K20" s="50">
        <v>9</v>
      </c>
      <c r="L20" s="50">
        <v>9</v>
      </c>
      <c r="M20" s="50">
        <v>9</v>
      </c>
      <c r="N20" s="50">
        <v>9</v>
      </c>
      <c r="O20" s="50">
        <v>9</v>
      </c>
      <c r="P20" s="50">
        <v>9</v>
      </c>
      <c r="Q20" s="50">
        <v>9</v>
      </c>
      <c r="R20" s="50">
        <v>9</v>
      </c>
      <c r="S20" s="50">
        <v>9</v>
      </c>
      <c r="T20" s="50">
        <v>9</v>
      </c>
      <c r="U20" s="50">
        <v>9</v>
      </c>
      <c r="V20" s="50">
        <v>9</v>
      </c>
      <c r="W20" s="50">
        <v>9</v>
      </c>
      <c r="X20" s="50">
        <v>9</v>
      </c>
      <c r="Y20" s="50">
        <v>9</v>
      </c>
      <c r="Z20" s="50">
        <v>9</v>
      </c>
      <c r="AA20" s="50">
        <v>9</v>
      </c>
      <c r="AB20" s="50">
        <v>9</v>
      </c>
      <c r="AC20" s="50">
        <v>9</v>
      </c>
      <c r="AD20" s="50">
        <v>9</v>
      </c>
      <c r="AE20" s="50">
        <v>9</v>
      </c>
      <c r="AF20" s="50">
        <v>9</v>
      </c>
      <c r="AG20" s="55">
        <v>28</v>
      </c>
      <c r="AH20" s="52">
        <f t="shared" si="2"/>
        <v>9</v>
      </c>
      <c r="AI20" s="53">
        <f t="shared" si="3"/>
        <v>9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6.4</v>
      </c>
      <c r="C21" s="50">
        <v>6.4</v>
      </c>
      <c r="D21" s="50">
        <v>6.4</v>
      </c>
      <c r="E21" s="50">
        <v>6.4</v>
      </c>
      <c r="F21" s="50">
        <v>6.4</v>
      </c>
      <c r="G21" s="50">
        <v>6.4</v>
      </c>
      <c r="H21" s="50">
        <v>6.4</v>
      </c>
      <c r="I21" s="50">
        <v>6.4</v>
      </c>
      <c r="J21" s="50">
        <v>6.4</v>
      </c>
      <c r="K21" s="50">
        <v>6.4</v>
      </c>
      <c r="L21" s="50">
        <v>6.4</v>
      </c>
      <c r="M21" s="50">
        <v>6.4</v>
      </c>
      <c r="N21" s="50">
        <v>6.4</v>
      </c>
      <c r="O21" s="50">
        <v>6.4</v>
      </c>
      <c r="P21" s="50">
        <v>6.4</v>
      </c>
      <c r="Q21" s="50">
        <v>6.4</v>
      </c>
      <c r="R21" s="50">
        <v>6.4</v>
      </c>
      <c r="S21" s="50">
        <v>6.4</v>
      </c>
      <c r="T21" s="50">
        <v>6.4</v>
      </c>
      <c r="U21" s="50">
        <v>6.4</v>
      </c>
      <c r="V21" s="50">
        <v>6.4</v>
      </c>
      <c r="W21" s="50">
        <v>6.4</v>
      </c>
      <c r="X21" s="50">
        <v>6.4</v>
      </c>
      <c r="Y21" s="50">
        <v>6.4</v>
      </c>
      <c r="Z21" s="50">
        <v>6.4</v>
      </c>
      <c r="AA21" s="50">
        <v>6.4</v>
      </c>
      <c r="AB21" s="50">
        <v>6.4</v>
      </c>
      <c r="AC21" s="50">
        <v>6.4</v>
      </c>
      <c r="AD21" s="50">
        <v>6.4</v>
      </c>
      <c r="AE21" s="50">
        <v>6.4</v>
      </c>
      <c r="AF21" s="50">
        <v>6.4</v>
      </c>
      <c r="AG21" s="56">
        <v>30</v>
      </c>
      <c r="AH21" s="52">
        <f t="shared" si="2"/>
        <v>6.4</v>
      </c>
      <c r="AI21" s="53">
        <f t="shared" si="3"/>
        <v>6.4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10.7</v>
      </c>
      <c r="C22" s="50">
        <v>10.7</v>
      </c>
      <c r="D22" s="50">
        <v>10.7</v>
      </c>
      <c r="E22" s="50">
        <v>10.7</v>
      </c>
      <c r="F22" s="50">
        <v>10.7</v>
      </c>
      <c r="G22" s="50">
        <v>10.7</v>
      </c>
      <c r="H22" s="50">
        <v>10.7</v>
      </c>
      <c r="I22" s="50">
        <v>10.7</v>
      </c>
      <c r="J22" s="50">
        <v>10.7</v>
      </c>
      <c r="K22" s="50">
        <v>10.7</v>
      </c>
      <c r="L22" s="50">
        <v>10.7</v>
      </c>
      <c r="M22" s="50">
        <v>10.7</v>
      </c>
      <c r="N22" s="50">
        <v>10.7</v>
      </c>
      <c r="O22" s="50">
        <v>10.7</v>
      </c>
      <c r="P22" s="50">
        <v>10.7</v>
      </c>
      <c r="Q22" s="50">
        <v>10.7</v>
      </c>
      <c r="R22" s="50">
        <v>10.7</v>
      </c>
      <c r="S22" s="50">
        <v>10.7</v>
      </c>
      <c r="T22" s="50">
        <v>10.7</v>
      </c>
      <c r="U22" s="50">
        <v>10.7</v>
      </c>
      <c r="V22" s="50">
        <v>10.7</v>
      </c>
      <c r="W22" s="50">
        <v>10.7</v>
      </c>
      <c r="X22" s="50">
        <v>10.7</v>
      </c>
      <c r="Y22" s="50">
        <v>10.7</v>
      </c>
      <c r="Z22" s="50">
        <v>10.7</v>
      </c>
      <c r="AA22" s="50">
        <v>10.7</v>
      </c>
      <c r="AB22" s="50">
        <v>10.7</v>
      </c>
      <c r="AC22" s="50">
        <v>10.7</v>
      </c>
      <c r="AD22" s="50">
        <v>9.6999999999999993</v>
      </c>
      <c r="AE22" s="50">
        <v>9.6999999999999993</v>
      </c>
      <c r="AF22" s="50">
        <v>9.6999999999999993</v>
      </c>
      <c r="AG22" s="55">
        <v>25</v>
      </c>
      <c r="AH22" s="52">
        <f t="shared" si="2"/>
        <v>10.7</v>
      </c>
      <c r="AI22" s="53">
        <f t="shared" si="3"/>
        <v>9.6999999999999993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9</v>
      </c>
      <c r="N23" s="50">
        <v>9</v>
      </c>
      <c r="O23" s="50">
        <v>9</v>
      </c>
      <c r="P23" s="50">
        <v>0</v>
      </c>
      <c r="Q23" s="50">
        <v>0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5">
        <v>25</v>
      </c>
      <c r="AH23" s="52">
        <f t="shared" si="2"/>
        <v>9</v>
      </c>
      <c r="AI23" s="53">
        <f t="shared" si="3"/>
        <v>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4.9000000000000004</v>
      </c>
      <c r="C26" s="50">
        <v>4.9000000000000004</v>
      </c>
      <c r="D26" s="50">
        <v>4.9000000000000004</v>
      </c>
      <c r="E26" s="50">
        <v>4.9000000000000004</v>
      </c>
      <c r="F26" s="50">
        <v>4.9000000000000004</v>
      </c>
      <c r="G26" s="50">
        <v>4.9000000000000004</v>
      </c>
      <c r="H26" s="50">
        <v>4.9000000000000004</v>
      </c>
      <c r="I26" s="50">
        <v>4.9000000000000004</v>
      </c>
      <c r="J26" s="50">
        <v>4.9000000000000004</v>
      </c>
      <c r="K26" s="50">
        <v>4.9000000000000004</v>
      </c>
      <c r="L26" s="50">
        <v>4.9000000000000004</v>
      </c>
      <c r="M26" s="50">
        <v>4.9000000000000004</v>
      </c>
      <c r="N26" s="50">
        <v>4.9000000000000004</v>
      </c>
      <c r="O26" s="50">
        <v>4.9000000000000004</v>
      </c>
      <c r="P26" s="50">
        <v>4.9000000000000004</v>
      </c>
      <c r="Q26" s="50">
        <v>4.9000000000000004</v>
      </c>
      <c r="R26" s="50">
        <v>4.9000000000000004</v>
      </c>
      <c r="S26" s="50">
        <v>4.9000000000000004</v>
      </c>
      <c r="T26" s="50">
        <v>4.9000000000000004</v>
      </c>
      <c r="U26" s="50">
        <v>4.9000000000000004</v>
      </c>
      <c r="V26" s="50">
        <v>4.9000000000000004</v>
      </c>
      <c r="W26" s="50">
        <v>4.9000000000000004</v>
      </c>
      <c r="X26" s="50">
        <v>4.9000000000000004</v>
      </c>
      <c r="Y26" s="50">
        <v>4.9000000000000004</v>
      </c>
      <c r="Z26" s="50">
        <v>4.9000000000000004</v>
      </c>
      <c r="AA26" s="50">
        <v>4.9000000000000004</v>
      </c>
      <c r="AB26" s="50">
        <v>4.9000000000000004</v>
      </c>
      <c r="AC26" s="50">
        <v>4.9000000000000004</v>
      </c>
      <c r="AD26" s="50">
        <v>5.3</v>
      </c>
      <c r="AE26" s="50">
        <v>5.3</v>
      </c>
      <c r="AF26" s="50">
        <v>5.3</v>
      </c>
      <c r="AG26" s="55">
        <v>23.5</v>
      </c>
      <c r="AH26" s="52">
        <f t="shared" si="2"/>
        <v>5.3</v>
      </c>
      <c r="AI26" s="53">
        <f t="shared" si="3"/>
        <v>4.9000000000000004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5">
        <v>22</v>
      </c>
      <c r="AH29" s="52">
        <f t="shared" si="2"/>
        <v>10</v>
      </c>
      <c r="AI29" s="53">
        <f t="shared" si="3"/>
        <v>4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9</v>
      </c>
      <c r="C30" s="50">
        <v>9</v>
      </c>
      <c r="D30" s="50">
        <v>9</v>
      </c>
      <c r="E30" s="50">
        <v>9</v>
      </c>
      <c r="F30" s="50">
        <v>9</v>
      </c>
      <c r="G30" s="50">
        <v>9</v>
      </c>
      <c r="H30" s="50">
        <v>9</v>
      </c>
      <c r="I30" s="50">
        <v>9</v>
      </c>
      <c r="J30" s="50">
        <v>9</v>
      </c>
      <c r="K30" s="50">
        <v>9</v>
      </c>
      <c r="L30" s="50">
        <v>9</v>
      </c>
      <c r="M30" s="50">
        <v>9</v>
      </c>
      <c r="N30" s="50">
        <v>9</v>
      </c>
      <c r="O30" s="50">
        <v>9</v>
      </c>
      <c r="P30" s="50">
        <v>9</v>
      </c>
      <c r="Q30" s="50">
        <v>9</v>
      </c>
      <c r="R30" s="50">
        <v>9</v>
      </c>
      <c r="S30" s="50">
        <v>9</v>
      </c>
      <c r="T30" s="50">
        <v>9</v>
      </c>
      <c r="U30" s="50">
        <v>9</v>
      </c>
      <c r="V30" s="50">
        <v>9</v>
      </c>
      <c r="W30" s="50">
        <v>9</v>
      </c>
      <c r="X30" s="50">
        <v>9</v>
      </c>
      <c r="Y30" s="50">
        <v>9</v>
      </c>
      <c r="Z30" s="50">
        <v>9</v>
      </c>
      <c r="AA30" s="50">
        <v>9</v>
      </c>
      <c r="AB30" s="50">
        <v>9</v>
      </c>
      <c r="AC30" s="50">
        <v>9</v>
      </c>
      <c r="AD30" s="50">
        <v>11</v>
      </c>
      <c r="AE30" s="50">
        <v>11</v>
      </c>
      <c r="AF30" s="50">
        <v>11</v>
      </c>
      <c r="AG30" s="55">
        <v>22</v>
      </c>
      <c r="AH30" s="52">
        <f t="shared" si="2"/>
        <v>11</v>
      </c>
      <c r="AI30" s="53">
        <f t="shared" si="3"/>
        <v>9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55">
        <v>20</v>
      </c>
      <c r="AH31" s="52">
        <f t="shared" si="2"/>
        <v>6</v>
      </c>
      <c r="AI31" s="53">
        <f t="shared" si="3"/>
        <v>6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>
        <v>4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5.2</v>
      </c>
      <c r="C38" s="50">
        <v>5.2</v>
      </c>
      <c r="D38" s="50">
        <v>5.2</v>
      </c>
      <c r="E38" s="50">
        <v>5.2</v>
      </c>
      <c r="F38" s="50">
        <v>5.2</v>
      </c>
      <c r="G38" s="50">
        <v>5.2</v>
      </c>
      <c r="H38" s="50">
        <v>5.2</v>
      </c>
      <c r="I38" s="50">
        <v>5.2</v>
      </c>
      <c r="J38" s="50">
        <v>5.2</v>
      </c>
      <c r="K38" s="50">
        <v>5.2</v>
      </c>
      <c r="L38" s="50">
        <v>5.2</v>
      </c>
      <c r="M38" s="50">
        <v>5.2</v>
      </c>
      <c r="N38" s="50">
        <v>5.2</v>
      </c>
      <c r="O38" s="50">
        <v>5.2</v>
      </c>
      <c r="P38" s="50">
        <v>5.2</v>
      </c>
      <c r="Q38" s="50">
        <v>5.2</v>
      </c>
      <c r="R38" s="50">
        <v>5.2</v>
      </c>
      <c r="S38" s="50">
        <v>5.2</v>
      </c>
      <c r="T38" s="50">
        <v>5.2</v>
      </c>
      <c r="U38" s="50">
        <v>5.2</v>
      </c>
      <c r="V38" s="50">
        <v>5.2</v>
      </c>
      <c r="W38" s="50">
        <v>5.2</v>
      </c>
      <c r="X38" s="50">
        <v>5.2</v>
      </c>
      <c r="Y38" s="50">
        <v>5.2</v>
      </c>
      <c r="Z38" s="50">
        <v>5.2</v>
      </c>
      <c r="AA38" s="50">
        <v>5.2</v>
      </c>
      <c r="AB38" s="50">
        <v>5.2</v>
      </c>
      <c r="AC38" s="50">
        <v>5.2</v>
      </c>
      <c r="AD38" s="50">
        <v>5.2</v>
      </c>
      <c r="AE38" s="50">
        <v>5.2</v>
      </c>
      <c r="AF38" s="50">
        <v>5.2</v>
      </c>
      <c r="AG38" s="55">
        <v>12</v>
      </c>
      <c r="AH38" s="52">
        <f t="shared" si="2"/>
        <v>5.2</v>
      </c>
      <c r="AI38" s="53">
        <f t="shared" si="3"/>
        <v>5.2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5</v>
      </c>
      <c r="C40" s="50">
        <v>5</v>
      </c>
      <c r="D40" s="50">
        <v>5</v>
      </c>
      <c r="E40" s="50">
        <v>5</v>
      </c>
      <c r="F40" s="50">
        <v>5</v>
      </c>
      <c r="G40" s="50">
        <v>5</v>
      </c>
      <c r="H40" s="50">
        <v>5</v>
      </c>
      <c r="I40" s="50">
        <v>5</v>
      </c>
      <c r="J40" s="50">
        <v>5</v>
      </c>
      <c r="K40" s="50">
        <v>5</v>
      </c>
      <c r="L40" s="50">
        <v>5</v>
      </c>
      <c r="M40" s="50">
        <v>5</v>
      </c>
      <c r="N40" s="50">
        <v>5</v>
      </c>
      <c r="O40" s="50">
        <v>5</v>
      </c>
      <c r="P40" s="50">
        <v>5</v>
      </c>
      <c r="Q40" s="50">
        <v>5</v>
      </c>
      <c r="R40" s="50">
        <v>5</v>
      </c>
      <c r="S40" s="50">
        <v>5</v>
      </c>
      <c r="T40" s="50">
        <v>5</v>
      </c>
      <c r="U40" s="50">
        <v>5</v>
      </c>
      <c r="V40" s="50">
        <v>5</v>
      </c>
      <c r="W40" s="50">
        <v>5</v>
      </c>
      <c r="X40" s="50">
        <v>5</v>
      </c>
      <c r="Y40" s="50">
        <v>5</v>
      </c>
      <c r="Z40" s="50">
        <v>5</v>
      </c>
      <c r="AA40" s="50">
        <v>5</v>
      </c>
      <c r="AB40" s="50">
        <v>5</v>
      </c>
      <c r="AC40" s="50">
        <v>5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5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4.2</v>
      </c>
      <c r="C43" s="50">
        <v>4.2</v>
      </c>
      <c r="D43" s="50">
        <v>4.2</v>
      </c>
      <c r="E43" s="50">
        <v>4.2</v>
      </c>
      <c r="F43" s="50">
        <v>4.2</v>
      </c>
      <c r="G43" s="50">
        <v>4.2</v>
      </c>
      <c r="H43" s="50">
        <v>4.2</v>
      </c>
      <c r="I43" s="50">
        <v>4.2</v>
      </c>
      <c r="J43" s="50">
        <v>4.2</v>
      </c>
      <c r="K43" s="50">
        <v>4.2</v>
      </c>
      <c r="L43" s="50">
        <v>4.2</v>
      </c>
      <c r="M43" s="50">
        <v>4.2</v>
      </c>
      <c r="N43" s="50">
        <v>4.2</v>
      </c>
      <c r="O43" s="50">
        <v>4.2</v>
      </c>
      <c r="P43" s="50">
        <v>4.2</v>
      </c>
      <c r="Q43" s="50">
        <v>4.2</v>
      </c>
      <c r="R43" s="50">
        <v>4.2</v>
      </c>
      <c r="S43" s="50">
        <v>4.2</v>
      </c>
      <c r="T43" s="50">
        <v>4.2</v>
      </c>
      <c r="U43" s="50">
        <v>4.2</v>
      </c>
      <c r="V43" s="50">
        <v>4.2</v>
      </c>
      <c r="W43" s="50">
        <v>4.2</v>
      </c>
      <c r="X43" s="50">
        <v>4.2</v>
      </c>
      <c r="Y43" s="50">
        <v>4.2</v>
      </c>
      <c r="Z43" s="50">
        <v>4.2</v>
      </c>
      <c r="AA43" s="50">
        <v>4.2</v>
      </c>
      <c r="AB43" s="50">
        <v>4.2</v>
      </c>
      <c r="AC43" s="50">
        <v>4.2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4.2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120</v>
      </c>
      <c r="C46" s="63">
        <v>120</v>
      </c>
      <c r="D46" s="63">
        <v>120</v>
      </c>
      <c r="E46" s="63">
        <v>120</v>
      </c>
      <c r="F46" s="63">
        <v>120</v>
      </c>
      <c r="G46" s="63">
        <v>120</v>
      </c>
      <c r="H46" s="63">
        <v>120</v>
      </c>
      <c r="I46" s="63">
        <v>120</v>
      </c>
      <c r="J46" s="63">
        <v>120</v>
      </c>
      <c r="K46" s="63">
        <v>120</v>
      </c>
      <c r="L46" s="63">
        <v>120</v>
      </c>
      <c r="M46" s="63">
        <v>120</v>
      </c>
      <c r="N46" s="63">
        <v>120</v>
      </c>
      <c r="O46" s="63">
        <v>120</v>
      </c>
      <c r="P46" s="63">
        <v>120</v>
      </c>
      <c r="Q46" s="63">
        <v>120</v>
      </c>
      <c r="R46" s="63">
        <v>120</v>
      </c>
      <c r="S46" s="63">
        <v>120</v>
      </c>
      <c r="T46" s="63">
        <v>120</v>
      </c>
      <c r="U46" s="63">
        <v>120</v>
      </c>
      <c r="V46" s="63">
        <v>120</v>
      </c>
      <c r="W46" s="63">
        <v>120</v>
      </c>
      <c r="X46" s="63">
        <v>120</v>
      </c>
      <c r="Y46" s="63">
        <v>120</v>
      </c>
      <c r="Z46" s="63">
        <v>120</v>
      </c>
      <c r="AA46" s="63">
        <v>120</v>
      </c>
      <c r="AB46" s="63">
        <v>120</v>
      </c>
      <c r="AC46" s="63">
        <v>120</v>
      </c>
      <c r="AD46" s="63">
        <v>120</v>
      </c>
      <c r="AE46" s="63">
        <v>120</v>
      </c>
      <c r="AF46" s="63">
        <v>120</v>
      </c>
      <c r="AG46" s="61">
        <v>85</v>
      </c>
      <c r="AH46" s="52">
        <f t="shared" si="2"/>
        <v>120</v>
      </c>
      <c r="AI46" s="53">
        <f t="shared" si="3"/>
        <v>120</v>
      </c>
      <c r="AK46" s="54"/>
    </row>
    <row r="47" spans="1:88" ht="15.75" thickBot="1" x14ac:dyDescent="0.3">
      <c r="A47" s="64" t="s">
        <v>55</v>
      </c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 t="shared" ref="B48:AG48" si="4">SUM(B12:B46)</f>
        <v>365.9</v>
      </c>
      <c r="C48" s="67">
        <f t="shared" si="4"/>
        <v>365.9</v>
      </c>
      <c r="D48" s="67">
        <f t="shared" si="4"/>
        <v>365.9</v>
      </c>
      <c r="E48" s="67">
        <f t="shared" si="4"/>
        <v>365.9</v>
      </c>
      <c r="F48" s="67">
        <f t="shared" si="4"/>
        <v>369.9</v>
      </c>
      <c r="G48" s="67">
        <f t="shared" si="4"/>
        <v>369.9</v>
      </c>
      <c r="H48" s="67">
        <f t="shared" si="4"/>
        <v>369.9</v>
      </c>
      <c r="I48" s="67">
        <f t="shared" si="4"/>
        <v>372.09999999999991</v>
      </c>
      <c r="J48" s="67">
        <f t="shared" si="4"/>
        <v>372.09999999999991</v>
      </c>
      <c r="K48" s="67">
        <f t="shared" si="4"/>
        <v>373.09999999999991</v>
      </c>
      <c r="L48" s="67">
        <f t="shared" si="4"/>
        <v>377</v>
      </c>
      <c r="M48" s="67">
        <f t="shared" si="4"/>
        <v>377</v>
      </c>
      <c r="N48" s="67">
        <f t="shared" si="4"/>
        <v>377</v>
      </c>
      <c r="O48" s="67">
        <f t="shared" si="4"/>
        <v>377</v>
      </c>
      <c r="P48" s="67">
        <f t="shared" si="4"/>
        <v>368</v>
      </c>
      <c r="Q48" s="67">
        <f t="shared" si="4"/>
        <v>368</v>
      </c>
      <c r="R48" s="67">
        <f t="shared" si="4"/>
        <v>377</v>
      </c>
      <c r="S48" s="67">
        <f t="shared" si="4"/>
        <v>377</v>
      </c>
      <c r="T48" s="67">
        <f t="shared" si="4"/>
        <v>377</v>
      </c>
      <c r="U48" s="67">
        <f t="shared" si="4"/>
        <v>377</v>
      </c>
      <c r="V48" s="67">
        <f t="shared" si="4"/>
        <v>377</v>
      </c>
      <c r="W48" s="67">
        <f t="shared" si="4"/>
        <v>377</v>
      </c>
      <c r="X48" s="67">
        <f t="shared" si="4"/>
        <v>377</v>
      </c>
      <c r="Y48" s="67">
        <f t="shared" si="4"/>
        <v>377</v>
      </c>
      <c r="Z48" s="67">
        <f t="shared" si="4"/>
        <v>377</v>
      </c>
      <c r="AA48" s="67">
        <f t="shared" si="4"/>
        <v>377</v>
      </c>
      <c r="AB48" s="67">
        <f t="shared" si="4"/>
        <v>371</v>
      </c>
      <c r="AC48" s="67">
        <f t="shared" si="4"/>
        <v>371</v>
      </c>
      <c r="AD48" s="67">
        <f t="shared" si="4"/>
        <v>363.5</v>
      </c>
      <c r="AE48" s="67">
        <f t="shared" si="4"/>
        <v>363.5</v>
      </c>
      <c r="AF48" s="67">
        <f>SUM(AF12:AF46)</f>
        <v>363.5</v>
      </c>
      <c r="AG48" s="68">
        <f t="shared" si="4"/>
        <v>875.68</v>
      </c>
      <c r="AH48" s="52">
        <f t="shared" si="2"/>
        <v>377</v>
      </c>
      <c r="AI48" s="53">
        <f t="shared" si="3"/>
        <v>363.5</v>
      </c>
      <c r="AK48" s="54"/>
    </row>
    <row r="49" spans="1:41" x14ac:dyDescent="0.25">
      <c r="A49" s="69" t="s">
        <v>57</v>
      </c>
      <c r="B49" s="50">
        <v>145</v>
      </c>
      <c r="C49" s="50">
        <v>145</v>
      </c>
      <c r="D49" s="50">
        <v>145</v>
      </c>
      <c r="E49" s="50">
        <v>130</v>
      </c>
      <c r="F49" s="50">
        <v>100</v>
      </c>
      <c r="G49" s="50">
        <v>100</v>
      </c>
      <c r="H49" s="50">
        <v>100</v>
      </c>
      <c r="I49" s="50">
        <v>100</v>
      </c>
      <c r="J49" s="50">
        <v>30</v>
      </c>
      <c r="K49" s="50">
        <v>60</v>
      </c>
      <c r="L49" s="50">
        <v>50</v>
      </c>
      <c r="M49" s="70">
        <v>60</v>
      </c>
      <c r="N49" s="70">
        <v>70</v>
      </c>
      <c r="O49" s="70">
        <v>70</v>
      </c>
      <c r="P49" s="70">
        <v>70</v>
      </c>
      <c r="Q49" s="50">
        <v>73</v>
      </c>
      <c r="R49" s="50">
        <v>73</v>
      </c>
      <c r="S49" s="50">
        <v>90</v>
      </c>
      <c r="T49" s="50">
        <v>30</v>
      </c>
      <c r="U49" s="50">
        <v>15</v>
      </c>
      <c r="V49" s="50">
        <v>0</v>
      </c>
      <c r="W49" s="50">
        <v>0</v>
      </c>
      <c r="X49" s="50">
        <v>0</v>
      </c>
      <c r="Y49" s="50">
        <v>34</v>
      </c>
      <c r="Z49" s="50">
        <v>228</v>
      </c>
      <c r="AA49" s="50">
        <v>272</v>
      </c>
      <c r="AB49" s="50">
        <v>252</v>
      </c>
      <c r="AC49" s="50">
        <v>235.9</v>
      </c>
      <c r="AD49" s="50">
        <v>160</v>
      </c>
      <c r="AE49" s="50">
        <v>100</v>
      </c>
      <c r="AF49" s="50">
        <v>100</v>
      </c>
      <c r="AG49" s="56">
        <v>456</v>
      </c>
      <c r="AH49" s="52">
        <f t="shared" si="2"/>
        <v>272</v>
      </c>
      <c r="AI49" s="53">
        <f t="shared" si="3"/>
        <v>0</v>
      </c>
      <c r="AK49" s="54"/>
    </row>
    <row r="50" spans="1:41" x14ac:dyDescent="0.25">
      <c r="A50" s="71" t="s">
        <v>58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25</v>
      </c>
      <c r="O50" s="72">
        <v>25</v>
      </c>
      <c r="P50" s="72">
        <v>25</v>
      </c>
      <c r="Q50" s="72">
        <v>25</v>
      </c>
      <c r="R50" s="72">
        <v>25</v>
      </c>
      <c r="S50" s="72">
        <v>25</v>
      </c>
      <c r="T50" s="72">
        <v>25</v>
      </c>
      <c r="U50" s="72">
        <v>25</v>
      </c>
      <c r="V50" s="72">
        <v>25</v>
      </c>
      <c r="W50" s="72">
        <v>25</v>
      </c>
      <c r="X50" s="72">
        <v>25</v>
      </c>
      <c r="Y50" s="72">
        <v>25</v>
      </c>
      <c r="Z50" s="72">
        <v>25</v>
      </c>
      <c r="AA50" s="72">
        <v>25</v>
      </c>
      <c r="AB50" s="72">
        <v>25</v>
      </c>
      <c r="AC50" s="72">
        <v>25</v>
      </c>
      <c r="AD50" s="72">
        <v>25</v>
      </c>
      <c r="AE50" s="72">
        <v>25</v>
      </c>
      <c r="AF50" s="72">
        <v>25</v>
      </c>
      <c r="AG50" s="61">
        <v>60</v>
      </c>
      <c r="AH50" s="52">
        <f t="shared" si="2"/>
        <v>25</v>
      </c>
      <c r="AI50" s="53">
        <f t="shared" si="3"/>
        <v>25</v>
      </c>
      <c r="AK50" s="54"/>
    </row>
    <row r="51" spans="1:41" ht="15.75" thickBot="1" x14ac:dyDescent="0.3">
      <c r="A51" s="73" t="s">
        <v>59</v>
      </c>
      <c r="B51" s="74">
        <v>10.6</v>
      </c>
      <c r="C51" s="74">
        <v>10.6</v>
      </c>
      <c r="D51" s="74">
        <v>10.6</v>
      </c>
      <c r="E51" s="74">
        <v>10.6</v>
      </c>
      <c r="F51" s="74">
        <v>10.6</v>
      </c>
      <c r="G51" s="74">
        <v>10.6</v>
      </c>
      <c r="H51" s="74">
        <v>10.6</v>
      </c>
      <c r="I51" s="74">
        <v>10.6</v>
      </c>
      <c r="J51" s="74">
        <v>10.6</v>
      </c>
      <c r="K51" s="74">
        <v>10.6</v>
      </c>
      <c r="L51" s="74">
        <v>10.6</v>
      </c>
      <c r="M51" s="74">
        <v>10.3</v>
      </c>
      <c r="N51" s="74">
        <v>10.3</v>
      </c>
      <c r="O51" s="74">
        <v>10.3</v>
      </c>
      <c r="P51" s="74">
        <v>10.3</v>
      </c>
      <c r="Q51" s="74">
        <v>11.4</v>
      </c>
      <c r="R51" s="74">
        <v>11.4</v>
      </c>
      <c r="S51" s="74">
        <v>11.4</v>
      </c>
      <c r="T51" s="74">
        <v>11.4</v>
      </c>
      <c r="U51" s="74">
        <v>11.4</v>
      </c>
      <c r="V51" s="74">
        <v>11.4</v>
      </c>
      <c r="W51" s="74">
        <v>11.4</v>
      </c>
      <c r="X51" s="74">
        <v>11.4</v>
      </c>
      <c r="Y51" s="74">
        <v>11.4</v>
      </c>
      <c r="Z51" s="74">
        <v>11.4</v>
      </c>
      <c r="AA51" s="74">
        <v>11.4</v>
      </c>
      <c r="AB51" s="74">
        <v>11.4</v>
      </c>
      <c r="AC51" s="74">
        <v>11.4</v>
      </c>
      <c r="AD51" s="74">
        <v>11.5</v>
      </c>
      <c r="AE51" s="74">
        <v>11.5</v>
      </c>
      <c r="AF51" s="74">
        <v>11.5</v>
      </c>
      <c r="AG51" s="75">
        <v>22.1</v>
      </c>
      <c r="AH51" s="52">
        <f t="shared" si="2"/>
        <v>11.5</v>
      </c>
      <c r="AI51" s="53">
        <f t="shared" si="3"/>
        <v>10.3</v>
      </c>
      <c r="AK51" s="54"/>
    </row>
    <row r="52" spans="1:41" ht="15.75" thickBot="1" x14ac:dyDescent="0.3">
      <c r="A52" s="76" t="s">
        <v>60</v>
      </c>
      <c r="B52" s="67">
        <f t="shared" ref="B52:AG52" si="5">SUM(B49:B51)</f>
        <v>180.6</v>
      </c>
      <c r="C52" s="67">
        <f t="shared" si="5"/>
        <v>180.6</v>
      </c>
      <c r="D52" s="67">
        <f t="shared" si="5"/>
        <v>180.6</v>
      </c>
      <c r="E52" s="67">
        <f t="shared" si="5"/>
        <v>165.6</v>
      </c>
      <c r="F52" s="67">
        <f t="shared" si="5"/>
        <v>135.6</v>
      </c>
      <c r="G52" s="67">
        <f t="shared" si="5"/>
        <v>135.6</v>
      </c>
      <c r="H52" s="67">
        <f t="shared" si="5"/>
        <v>135.6</v>
      </c>
      <c r="I52" s="67">
        <f t="shared" si="5"/>
        <v>135.6</v>
      </c>
      <c r="J52" s="67">
        <f t="shared" si="5"/>
        <v>65.599999999999994</v>
      </c>
      <c r="K52" s="67">
        <f t="shared" si="5"/>
        <v>95.6</v>
      </c>
      <c r="L52" s="67">
        <f t="shared" si="5"/>
        <v>85.6</v>
      </c>
      <c r="M52" s="67">
        <f t="shared" si="5"/>
        <v>95.3</v>
      </c>
      <c r="N52" s="67">
        <f t="shared" si="5"/>
        <v>105.3</v>
      </c>
      <c r="O52" s="67">
        <f t="shared" si="5"/>
        <v>105.3</v>
      </c>
      <c r="P52" s="67">
        <f t="shared" si="5"/>
        <v>105.3</v>
      </c>
      <c r="Q52" s="67">
        <f t="shared" si="5"/>
        <v>109.4</v>
      </c>
      <c r="R52" s="67">
        <f t="shared" si="5"/>
        <v>109.4</v>
      </c>
      <c r="S52" s="67">
        <f t="shared" si="5"/>
        <v>126.4</v>
      </c>
      <c r="T52" s="67">
        <f t="shared" si="5"/>
        <v>66.400000000000006</v>
      </c>
      <c r="U52" s="67">
        <f t="shared" si="5"/>
        <v>51.4</v>
      </c>
      <c r="V52" s="67">
        <f t="shared" si="5"/>
        <v>36.4</v>
      </c>
      <c r="W52" s="67">
        <f t="shared" si="5"/>
        <v>36.4</v>
      </c>
      <c r="X52" s="67">
        <f t="shared" si="5"/>
        <v>36.4</v>
      </c>
      <c r="Y52" s="67">
        <f t="shared" si="5"/>
        <v>70.400000000000006</v>
      </c>
      <c r="Z52" s="67">
        <f t="shared" si="5"/>
        <v>264.39999999999998</v>
      </c>
      <c r="AA52" s="67">
        <f t="shared" si="5"/>
        <v>308.39999999999998</v>
      </c>
      <c r="AB52" s="67">
        <f t="shared" si="5"/>
        <v>288.39999999999998</v>
      </c>
      <c r="AC52" s="67">
        <f t="shared" si="5"/>
        <v>272.29999999999995</v>
      </c>
      <c r="AD52" s="67">
        <f t="shared" si="5"/>
        <v>196.5</v>
      </c>
      <c r="AE52" s="67">
        <f t="shared" si="5"/>
        <v>136.5</v>
      </c>
      <c r="AF52" s="67">
        <f>SUM(AF49:AF51)</f>
        <v>136.5</v>
      </c>
      <c r="AG52" s="68">
        <f t="shared" si="5"/>
        <v>538.1</v>
      </c>
      <c r="AH52" s="52">
        <f t="shared" si="2"/>
        <v>308.39999999999998</v>
      </c>
      <c r="AI52" s="53">
        <f t="shared" si="3"/>
        <v>36.4</v>
      </c>
      <c r="AK52" s="54"/>
    </row>
    <row r="53" spans="1:41" x14ac:dyDescent="0.25">
      <c r="A53" s="49" t="s">
        <v>61</v>
      </c>
      <c r="B53" s="50">
        <v>30</v>
      </c>
      <c r="C53" s="50">
        <v>30</v>
      </c>
      <c r="D53" s="50">
        <v>30</v>
      </c>
      <c r="E53" s="50">
        <v>30</v>
      </c>
      <c r="F53" s="50">
        <v>30</v>
      </c>
      <c r="G53" s="50">
        <v>30</v>
      </c>
      <c r="H53" s="50">
        <v>49</v>
      </c>
      <c r="I53" s="50">
        <v>40</v>
      </c>
      <c r="J53" s="50">
        <v>40</v>
      </c>
      <c r="K53" s="50">
        <v>48.5</v>
      </c>
      <c r="L53" s="50">
        <v>71.5</v>
      </c>
      <c r="M53" s="50">
        <v>80</v>
      </c>
      <c r="N53" s="50">
        <v>76.3</v>
      </c>
      <c r="O53" s="50">
        <v>76.3</v>
      </c>
      <c r="P53" s="50">
        <v>90.9</v>
      </c>
      <c r="Q53" s="50">
        <v>81</v>
      </c>
      <c r="R53" s="50">
        <v>71.3</v>
      </c>
      <c r="S53" s="50">
        <v>71.3</v>
      </c>
      <c r="T53" s="50">
        <v>71.3</v>
      </c>
      <c r="U53" s="50">
        <v>71.3</v>
      </c>
      <c r="V53" s="50">
        <v>60.8</v>
      </c>
      <c r="W53" s="50">
        <v>60.8</v>
      </c>
      <c r="X53" s="50">
        <v>60.8</v>
      </c>
      <c r="Y53" s="50">
        <v>89</v>
      </c>
      <c r="Z53" s="50">
        <v>97.4</v>
      </c>
      <c r="AA53" s="50">
        <v>97.4</v>
      </c>
      <c r="AB53" s="50">
        <v>97.3</v>
      </c>
      <c r="AC53" s="50">
        <v>97.3</v>
      </c>
      <c r="AD53" s="50">
        <v>81.900000000000006</v>
      </c>
      <c r="AE53" s="50">
        <v>61.2</v>
      </c>
      <c r="AF53" s="50">
        <v>61.2</v>
      </c>
      <c r="AG53" s="56">
        <v>144</v>
      </c>
      <c r="AH53" s="52">
        <f t="shared" si="2"/>
        <v>97.4</v>
      </c>
      <c r="AI53" s="53">
        <f t="shared" si="3"/>
        <v>30</v>
      </c>
      <c r="AK53" s="54"/>
    </row>
    <row r="54" spans="1:41" x14ac:dyDescent="0.25">
      <c r="A54" s="60" t="s">
        <v>62</v>
      </c>
      <c r="B54" s="72">
        <v>35</v>
      </c>
      <c r="C54" s="72">
        <v>35</v>
      </c>
      <c r="D54" s="72">
        <v>35</v>
      </c>
      <c r="E54" s="72">
        <v>22</v>
      </c>
      <c r="F54" s="72">
        <v>0</v>
      </c>
      <c r="G54" s="72">
        <v>0</v>
      </c>
      <c r="H54" s="72">
        <v>24</v>
      </c>
      <c r="I54" s="72">
        <v>24</v>
      </c>
      <c r="J54" s="72">
        <v>24</v>
      </c>
      <c r="K54" s="72">
        <v>34.5</v>
      </c>
      <c r="L54" s="72">
        <v>34.9</v>
      </c>
      <c r="M54" s="72">
        <v>34.9</v>
      </c>
      <c r="N54" s="72">
        <v>34.799999999999997</v>
      </c>
      <c r="O54" s="72">
        <v>34.799999999999997</v>
      </c>
      <c r="P54" s="72">
        <v>34.799999999999997</v>
      </c>
      <c r="Q54" s="72">
        <v>34.799999999999997</v>
      </c>
      <c r="R54" s="72">
        <v>34.799999999999997</v>
      </c>
      <c r="S54" s="72">
        <v>34.799999999999997</v>
      </c>
      <c r="T54" s="72">
        <v>22</v>
      </c>
      <c r="U54" s="72">
        <v>22</v>
      </c>
      <c r="V54" s="72">
        <v>22</v>
      </c>
      <c r="W54" s="72">
        <v>22</v>
      </c>
      <c r="X54" s="72">
        <v>34.700000000000003</v>
      </c>
      <c r="Y54" s="72">
        <v>47</v>
      </c>
      <c r="Z54" s="50">
        <v>71</v>
      </c>
      <c r="AA54" s="50">
        <v>69.8</v>
      </c>
      <c r="AB54" s="72">
        <v>43.6</v>
      </c>
      <c r="AC54" s="72">
        <v>45.5</v>
      </c>
      <c r="AD54" s="72">
        <v>46.8</v>
      </c>
      <c r="AE54" s="72">
        <v>47.4</v>
      </c>
      <c r="AF54" s="72">
        <v>47.4</v>
      </c>
      <c r="AG54" s="61">
        <v>70</v>
      </c>
      <c r="AH54" s="52">
        <f t="shared" si="2"/>
        <v>71</v>
      </c>
      <c r="AI54" s="53">
        <f t="shared" si="3"/>
        <v>0</v>
      </c>
      <c r="AK54" s="54"/>
    </row>
    <row r="55" spans="1:41" x14ac:dyDescent="0.25">
      <c r="A55" s="60" t="s">
        <v>63</v>
      </c>
      <c r="B55" s="72">
        <v>46</v>
      </c>
      <c r="C55" s="72">
        <v>46</v>
      </c>
      <c r="D55" s="72">
        <v>46</v>
      </c>
      <c r="E55" s="72">
        <v>17</v>
      </c>
      <c r="F55" s="72">
        <v>0</v>
      </c>
      <c r="G55" s="72">
        <v>0</v>
      </c>
      <c r="H55" s="72">
        <v>16.899999999999999</v>
      </c>
      <c r="I55" s="72">
        <v>16.899999999999999</v>
      </c>
      <c r="J55" s="72">
        <v>35.1</v>
      </c>
      <c r="K55" s="72">
        <v>46.4</v>
      </c>
      <c r="L55" s="72">
        <v>40.6</v>
      </c>
      <c r="M55" s="72">
        <v>40.36</v>
      </c>
      <c r="N55" s="72">
        <v>36.799999999999997</v>
      </c>
      <c r="O55" s="72">
        <v>36.799999999999997</v>
      </c>
      <c r="P55" s="72">
        <v>37.5</v>
      </c>
      <c r="Q55" s="72">
        <v>36</v>
      </c>
      <c r="R55" s="50">
        <v>35.5</v>
      </c>
      <c r="S55" s="50">
        <v>46</v>
      </c>
      <c r="T55" s="50">
        <v>33.700000000000003</v>
      </c>
      <c r="U55" s="50">
        <v>33.700000000000003</v>
      </c>
      <c r="V55" s="50">
        <v>40.9</v>
      </c>
      <c r="W55" s="50">
        <v>40.9</v>
      </c>
      <c r="X55" s="50">
        <v>32.5</v>
      </c>
      <c r="Y55" s="50">
        <v>51</v>
      </c>
      <c r="Z55" s="50">
        <v>69.5</v>
      </c>
      <c r="AA55" s="50">
        <v>54.7</v>
      </c>
      <c r="AB55" s="72">
        <v>36.299999999999997</v>
      </c>
      <c r="AC55" s="72">
        <v>17.899999999999999</v>
      </c>
      <c r="AD55" s="72">
        <v>17.600000000000001</v>
      </c>
      <c r="AE55" s="72">
        <v>17.600000000000001</v>
      </c>
      <c r="AF55" s="72">
        <v>17.600000000000001</v>
      </c>
      <c r="AG55" s="61">
        <v>69</v>
      </c>
      <c r="AH55" s="52">
        <f t="shared" si="2"/>
        <v>69.5</v>
      </c>
      <c r="AI55" s="53">
        <f t="shared" si="3"/>
        <v>0</v>
      </c>
      <c r="AK55" s="54"/>
    </row>
    <row r="56" spans="1:41" x14ac:dyDescent="0.25">
      <c r="A56" s="60" t="s">
        <v>64</v>
      </c>
      <c r="B56" s="72">
        <v>36.299999999999997</v>
      </c>
      <c r="C56" s="72">
        <v>36.299999999999997</v>
      </c>
      <c r="D56" s="72">
        <v>36.299999999999997</v>
      </c>
      <c r="E56" s="72">
        <v>40.1</v>
      </c>
      <c r="F56" s="72">
        <v>40.1</v>
      </c>
      <c r="G56" s="72">
        <v>40.1</v>
      </c>
      <c r="H56" s="63">
        <v>42.8</v>
      </c>
      <c r="I56" s="63">
        <v>42.8</v>
      </c>
      <c r="J56" s="63">
        <v>42.8</v>
      </c>
      <c r="K56" s="63">
        <v>43.1</v>
      </c>
      <c r="L56" s="63">
        <v>40.9</v>
      </c>
      <c r="M56" s="72">
        <v>41</v>
      </c>
      <c r="N56" s="72">
        <v>42.1</v>
      </c>
      <c r="O56" s="72">
        <v>42.1</v>
      </c>
      <c r="P56" s="72">
        <v>42</v>
      </c>
      <c r="Q56" s="72">
        <v>39.799999999999997</v>
      </c>
      <c r="R56" s="72">
        <v>39.799999999999997</v>
      </c>
      <c r="S56" s="72">
        <v>39.799999999999997</v>
      </c>
      <c r="T56" s="72">
        <v>39.799999999999997</v>
      </c>
      <c r="U56" s="72">
        <v>39.799999999999997</v>
      </c>
      <c r="V56" s="72">
        <v>39.799999999999997</v>
      </c>
      <c r="W56" s="72">
        <v>39.799999999999997</v>
      </c>
      <c r="X56" s="72">
        <v>39.799999999999997</v>
      </c>
      <c r="Y56" s="72">
        <v>39.799999999999997</v>
      </c>
      <c r="Z56" s="50">
        <v>39.799999999999997</v>
      </c>
      <c r="AA56" s="50">
        <v>39.799999999999997</v>
      </c>
      <c r="AB56" s="72">
        <v>38</v>
      </c>
      <c r="AC56" s="72">
        <v>38</v>
      </c>
      <c r="AD56" s="72">
        <v>38</v>
      </c>
      <c r="AE56" s="72">
        <v>38</v>
      </c>
      <c r="AF56" s="72">
        <v>38</v>
      </c>
      <c r="AG56" s="61">
        <v>60</v>
      </c>
      <c r="AH56" s="52">
        <f t="shared" si="2"/>
        <v>43.1</v>
      </c>
      <c r="AI56" s="53">
        <f t="shared" si="3"/>
        <v>36.299999999999997</v>
      </c>
      <c r="AK56" s="54"/>
    </row>
    <row r="57" spans="1:41" x14ac:dyDescent="0.25">
      <c r="A57" s="60" t="s">
        <v>65</v>
      </c>
      <c r="B57" s="72">
        <v>10</v>
      </c>
      <c r="C57" s="72">
        <v>10</v>
      </c>
      <c r="D57" s="72">
        <v>10</v>
      </c>
      <c r="E57" s="72">
        <v>10</v>
      </c>
      <c r="F57" s="72">
        <v>0</v>
      </c>
      <c r="G57" s="72">
        <v>0</v>
      </c>
      <c r="H57" s="63">
        <v>0</v>
      </c>
      <c r="I57" s="63">
        <v>10</v>
      </c>
      <c r="J57" s="63">
        <v>10</v>
      </c>
      <c r="K57" s="63">
        <v>10</v>
      </c>
      <c r="L57" s="63">
        <v>10</v>
      </c>
      <c r="M57" s="72">
        <v>10</v>
      </c>
      <c r="N57" s="72">
        <v>14.8</v>
      </c>
      <c r="O57" s="72">
        <v>14.8</v>
      </c>
      <c r="P57" s="72">
        <v>14.8</v>
      </c>
      <c r="Q57" s="72">
        <v>10</v>
      </c>
      <c r="R57" s="50">
        <v>15</v>
      </c>
      <c r="S57" s="50">
        <v>15</v>
      </c>
      <c r="T57" s="50">
        <v>15</v>
      </c>
      <c r="U57" s="50">
        <v>15</v>
      </c>
      <c r="V57" s="50">
        <v>21</v>
      </c>
      <c r="W57" s="50">
        <v>21</v>
      </c>
      <c r="X57" s="50">
        <v>21</v>
      </c>
      <c r="Y57" s="50">
        <v>21</v>
      </c>
      <c r="Z57" s="50">
        <v>21</v>
      </c>
      <c r="AA57" s="50">
        <v>21</v>
      </c>
      <c r="AB57" s="72">
        <v>8.1999999999999993</v>
      </c>
      <c r="AC57" s="72">
        <v>0</v>
      </c>
      <c r="AD57" s="72">
        <v>0</v>
      </c>
      <c r="AE57" s="72">
        <v>0</v>
      </c>
      <c r="AF57" s="72">
        <v>0</v>
      </c>
      <c r="AG57" s="61">
        <v>30</v>
      </c>
      <c r="AH57" s="52">
        <f t="shared" si="2"/>
        <v>21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6</v>
      </c>
      <c r="N58" s="50">
        <v>6</v>
      </c>
      <c r="O58" s="50">
        <v>6</v>
      </c>
      <c r="P58" s="50">
        <v>6</v>
      </c>
      <c r="Q58" s="72">
        <v>8</v>
      </c>
      <c r="R58" s="72">
        <v>8</v>
      </c>
      <c r="S58" s="72">
        <v>8</v>
      </c>
      <c r="T58" s="72">
        <v>8</v>
      </c>
      <c r="U58" s="72">
        <v>8</v>
      </c>
      <c r="V58" s="72">
        <v>8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1">
        <v>25</v>
      </c>
      <c r="AH58" s="52">
        <f t="shared" si="2"/>
        <v>8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10</v>
      </c>
      <c r="C59" s="72">
        <v>10</v>
      </c>
      <c r="D59" s="72">
        <v>10</v>
      </c>
      <c r="E59" s="72">
        <v>10</v>
      </c>
      <c r="F59" s="72">
        <v>10</v>
      </c>
      <c r="G59" s="72">
        <v>10</v>
      </c>
      <c r="H59" s="72">
        <v>15</v>
      </c>
      <c r="I59" s="72">
        <v>15</v>
      </c>
      <c r="J59" s="72">
        <v>15</v>
      </c>
      <c r="K59" s="72">
        <v>15</v>
      </c>
      <c r="L59" s="72">
        <v>15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15</v>
      </c>
      <c r="S59" s="72">
        <v>15</v>
      </c>
      <c r="T59" s="72">
        <v>15</v>
      </c>
      <c r="U59" s="72">
        <v>15</v>
      </c>
      <c r="V59" s="72">
        <v>15</v>
      </c>
      <c r="W59" s="72">
        <v>15</v>
      </c>
      <c r="X59" s="72">
        <v>15</v>
      </c>
      <c r="Y59" s="72">
        <v>15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15</v>
      </c>
      <c r="AI59" s="53">
        <f t="shared" si="3"/>
        <v>10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7.8</v>
      </c>
      <c r="C61" s="72">
        <v>8</v>
      </c>
      <c r="D61" s="72">
        <v>7</v>
      </c>
      <c r="E61" s="72">
        <v>7</v>
      </c>
      <c r="F61" s="72">
        <v>7</v>
      </c>
      <c r="G61" s="72">
        <v>7</v>
      </c>
      <c r="H61" s="72">
        <v>6.1</v>
      </c>
      <c r="I61" s="72">
        <v>6.1</v>
      </c>
      <c r="J61" s="72">
        <v>6.1</v>
      </c>
      <c r="K61" s="72">
        <v>9.6</v>
      </c>
      <c r="L61" s="72">
        <v>9.6</v>
      </c>
      <c r="M61" s="72">
        <v>9.6</v>
      </c>
      <c r="N61" s="72">
        <v>9.6</v>
      </c>
      <c r="O61" s="72">
        <v>9.6</v>
      </c>
      <c r="P61" s="72">
        <v>9.6</v>
      </c>
      <c r="Q61" s="72">
        <v>9.6</v>
      </c>
      <c r="R61" s="72">
        <v>9.6</v>
      </c>
      <c r="S61" s="72">
        <v>9.6</v>
      </c>
      <c r="T61" s="72">
        <v>9.6</v>
      </c>
      <c r="U61" s="72">
        <v>9.6</v>
      </c>
      <c r="V61" s="72">
        <v>9.6</v>
      </c>
      <c r="W61" s="72">
        <v>9.6</v>
      </c>
      <c r="X61" s="72">
        <v>9.6</v>
      </c>
      <c r="Y61" s="72">
        <v>9.6</v>
      </c>
      <c r="Z61" s="72">
        <v>9.6</v>
      </c>
      <c r="AA61" s="72">
        <v>9.6</v>
      </c>
      <c r="AB61" s="72">
        <v>10.7</v>
      </c>
      <c r="AC61" s="72">
        <v>10.7</v>
      </c>
      <c r="AD61" s="72">
        <v>11.4</v>
      </c>
      <c r="AE61" s="72">
        <v>11.4</v>
      </c>
      <c r="AF61" s="72">
        <v>11.4</v>
      </c>
      <c r="AG61" s="61">
        <v>14.1</v>
      </c>
      <c r="AH61" s="52">
        <f t="shared" si="2"/>
        <v>11.4</v>
      </c>
      <c r="AI61" s="53">
        <f t="shared" si="3"/>
        <v>6.1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5.9</v>
      </c>
      <c r="C62" s="72">
        <v>5.9</v>
      </c>
      <c r="D62" s="72">
        <v>5.9</v>
      </c>
      <c r="E62" s="72">
        <v>7.9</v>
      </c>
      <c r="F62" s="72">
        <v>6.2</v>
      </c>
      <c r="G62" s="72">
        <v>6.2</v>
      </c>
      <c r="H62" s="72">
        <v>6.2</v>
      </c>
      <c r="I62" s="72">
        <v>6.2</v>
      </c>
      <c r="J62" s="72">
        <v>6.2</v>
      </c>
      <c r="K62" s="72">
        <v>4.0999999999999996</v>
      </c>
      <c r="L62" s="72">
        <v>4.0999999999999996</v>
      </c>
      <c r="M62" s="72">
        <v>4.0999999999999996</v>
      </c>
      <c r="N62" s="72">
        <v>4.0999999999999996</v>
      </c>
      <c r="O62" s="72">
        <v>4.0999999999999996</v>
      </c>
      <c r="P62" s="72">
        <v>4.0999999999999996</v>
      </c>
      <c r="Q62" s="72">
        <v>4.0999999999999996</v>
      </c>
      <c r="R62" s="72">
        <v>4.0999999999999996</v>
      </c>
      <c r="S62" s="72">
        <v>4.0999999999999996</v>
      </c>
      <c r="T62" s="72">
        <v>4.0999999999999996</v>
      </c>
      <c r="U62" s="72">
        <v>4.0999999999999996</v>
      </c>
      <c r="V62" s="72">
        <v>4.0999999999999996</v>
      </c>
      <c r="W62" s="72">
        <v>4.0999999999999996</v>
      </c>
      <c r="X62" s="72">
        <v>4.0999999999999996</v>
      </c>
      <c r="Y62" s="72">
        <v>4.0999999999999996</v>
      </c>
      <c r="Z62" s="72">
        <v>4.0999999999999996</v>
      </c>
      <c r="AA62" s="72">
        <v>4.0999999999999996</v>
      </c>
      <c r="AB62" s="72">
        <v>4.0999999999999996</v>
      </c>
      <c r="AC62" s="72">
        <v>4.0999999999999996</v>
      </c>
      <c r="AD62" s="72">
        <v>4.8</v>
      </c>
      <c r="AE62" s="72">
        <v>4.8</v>
      </c>
      <c r="AF62" s="72">
        <v>4.8</v>
      </c>
      <c r="AG62" s="61">
        <v>14</v>
      </c>
      <c r="AH62" s="52">
        <f t="shared" si="2"/>
        <v>7.9</v>
      </c>
      <c r="AI62" s="53">
        <f t="shared" si="3"/>
        <v>4.0999999999999996</v>
      </c>
      <c r="AK62" s="54"/>
    </row>
    <row r="63" spans="1:41" x14ac:dyDescent="0.25">
      <c r="A63" s="60" t="s">
        <v>71</v>
      </c>
      <c r="B63" s="72">
        <v>3</v>
      </c>
      <c r="C63" s="72">
        <v>3</v>
      </c>
      <c r="D63" s="72">
        <v>3</v>
      </c>
      <c r="E63" s="72">
        <v>3</v>
      </c>
      <c r="F63" s="72">
        <v>3</v>
      </c>
      <c r="G63" s="72">
        <v>3</v>
      </c>
      <c r="H63" s="72">
        <v>3</v>
      </c>
      <c r="I63" s="72">
        <v>3</v>
      </c>
      <c r="J63" s="72">
        <v>3</v>
      </c>
      <c r="K63" s="72">
        <v>3</v>
      </c>
      <c r="L63" s="72">
        <v>3</v>
      </c>
      <c r="M63" s="72">
        <v>3</v>
      </c>
      <c r="N63" s="72">
        <v>3</v>
      </c>
      <c r="O63" s="72">
        <v>3</v>
      </c>
      <c r="P63" s="72">
        <v>3</v>
      </c>
      <c r="Q63" s="72">
        <v>3</v>
      </c>
      <c r="R63" s="72">
        <v>3</v>
      </c>
      <c r="S63" s="72">
        <v>3</v>
      </c>
      <c r="T63" s="72">
        <v>3</v>
      </c>
      <c r="U63" s="72">
        <v>3</v>
      </c>
      <c r="V63" s="72">
        <v>3</v>
      </c>
      <c r="W63" s="72">
        <v>3</v>
      </c>
      <c r="X63" s="72">
        <v>3</v>
      </c>
      <c r="Y63" s="72">
        <v>3</v>
      </c>
      <c r="Z63" s="72">
        <v>3</v>
      </c>
      <c r="AA63" s="72">
        <v>3</v>
      </c>
      <c r="AB63" s="72">
        <v>3</v>
      </c>
      <c r="AC63" s="72">
        <v>3</v>
      </c>
      <c r="AD63" s="72">
        <v>3</v>
      </c>
      <c r="AE63" s="72">
        <v>3</v>
      </c>
      <c r="AF63" s="72">
        <v>3</v>
      </c>
      <c r="AG63" s="61">
        <v>10.050000000000001</v>
      </c>
      <c r="AH63" s="52">
        <f t="shared" si="2"/>
        <v>3</v>
      </c>
      <c r="AI63" s="53">
        <f t="shared" si="3"/>
        <v>3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v>252.44</v>
      </c>
      <c r="C66" s="67">
        <f t="shared" ref="C66:AG66" si="6">SUM(C53:C65)</f>
        <v>189.74</v>
      </c>
      <c r="D66" s="67">
        <f t="shared" si="6"/>
        <v>188.74</v>
      </c>
      <c r="E66" s="67">
        <f t="shared" si="6"/>
        <v>152.54</v>
      </c>
      <c r="F66" s="67">
        <f t="shared" si="6"/>
        <v>101.84</v>
      </c>
      <c r="G66" s="67">
        <f t="shared" si="6"/>
        <v>101.84</v>
      </c>
      <c r="H66" s="67">
        <f t="shared" si="6"/>
        <v>168.53999999999996</v>
      </c>
      <c r="I66" s="67">
        <f t="shared" si="6"/>
        <v>169.53999999999996</v>
      </c>
      <c r="J66" s="67">
        <f t="shared" si="6"/>
        <v>187.73999999999995</v>
      </c>
      <c r="K66" s="67">
        <f t="shared" si="6"/>
        <v>219.73999999999998</v>
      </c>
      <c r="L66" s="67">
        <f t="shared" si="6"/>
        <v>235.14</v>
      </c>
      <c r="M66" s="67">
        <f t="shared" si="6"/>
        <v>249.49999999999997</v>
      </c>
      <c r="N66" s="67">
        <f t="shared" si="6"/>
        <v>248.03999999999996</v>
      </c>
      <c r="O66" s="67">
        <f t="shared" si="6"/>
        <v>248.03999999999996</v>
      </c>
      <c r="P66" s="67">
        <f t="shared" si="6"/>
        <v>263.24</v>
      </c>
      <c r="Q66" s="67">
        <f t="shared" si="6"/>
        <v>246.84</v>
      </c>
      <c r="R66" s="67">
        <f t="shared" si="6"/>
        <v>241.63999999999996</v>
      </c>
      <c r="S66" s="67">
        <f t="shared" si="6"/>
        <v>252.13999999999996</v>
      </c>
      <c r="T66" s="67">
        <f t="shared" si="6"/>
        <v>227.04</v>
      </c>
      <c r="U66" s="67">
        <f t="shared" si="6"/>
        <v>227.04</v>
      </c>
      <c r="V66" s="67">
        <f t="shared" si="6"/>
        <v>229.73999999999998</v>
      </c>
      <c r="W66" s="67">
        <f t="shared" si="6"/>
        <v>221.73999999999998</v>
      </c>
      <c r="X66" s="67">
        <f t="shared" si="6"/>
        <v>226.04</v>
      </c>
      <c r="Y66" s="67">
        <f t="shared" si="6"/>
        <v>285.04000000000008</v>
      </c>
      <c r="Z66" s="67">
        <f t="shared" si="6"/>
        <v>335.94000000000005</v>
      </c>
      <c r="AA66" s="67">
        <f t="shared" si="6"/>
        <v>319.94000000000005</v>
      </c>
      <c r="AB66" s="67">
        <f t="shared" si="6"/>
        <v>261.73999999999995</v>
      </c>
      <c r="AC66" s="67">
        <f t="shared" si="6"/>
        <v>237.04</v>
      </c>
      <c r="AD66" s="67">
        <f t="shared" si="6"/>
        <v>224.04</v>
      </c>
      <c r="AE66" s="67">
        <f t="shared" si="6"/>
        <v>203.94</v>
      </c>
      <c r="AF66" s="67">
        <f>SUM(AF53:AF65)</f>
        <v>203.94</v>
      </c>
      <c r="AG66" s="68">
        <f t="shared" si="6"/>
        <v>489.91</v>
      </c>
      <c r="AH66" s="52">
        <f t="shared" si="2"/>
        <v>335.94000000000005</v>
      </c>
      <c r="AI66" s="53">
        <f t="shared" si="3"/>
        <v>101.84</v>
      </c>
      <c r="AK66" s="54"/>
    </row>
    <row r="67" spans="1:40" x14ac:dyDescent="0.25">
      <c r="A67" s="49" t="s">
        <v>75</v>
      </c>
      <c r="B67" s="50">
        <v>30</v>
      </c>
      <c r="C67" s="50">
        <v>30</v>
      </c>
      <c r="D67" s="50">
        <v>30</v>
      </c>
      <c r="E67" s="50">
        <v>30</v>
      </c>
      <c r="F67" s="50">
        <v>10</v>
      </c>
      <c r="G67" s="50">
        <v>30</v>
      </c>
      <c r="H67" s="50">
        <v>30</v>
      </c>
      <c r="I67" s="50">
        <v>14</v>
      </c>
      <c r="J67" s="50">
        <v>14</v>
      </c>
      <c r="K67" s="50">
        <v>14</v>
      </c>
      <c r="L67" s="50">
        <v>20</v>
      </c>
      <c r="M67" s="50">
        <v>30</v>
      </c>
      <c r="N67" s="50">
        <v>10</v>
      </c>
      <c r="O67" s="50">
        <v>14</v>
      </c>
      <c r="P67" s="50">
        <v>30</v>
      </c>
      <c r="Q67" s="50">
        <v>30</v>
      </c>
      <c r="R67" s="50">
        <v>30</v>
      </c>
      <c r="S67" s="50">
        <v>44</v>
      </c>
      <c r="T67" s="50">
        <v>60</v>
      </c>
      <c r="U67" s="50">
        <v>60</v>
      </c>
      <c r="V67" s="50">
        <v>50</v>
      </c>
      <c r="W67" s="50">
        <v>44</v>
      </c>
      <c r="X67" s="50">
        <v>40</v>
      </c>
      <c r="Y67" s="50">
        <v>40</v>
      </c>
      <c r="Z67" s="50">
        <v>60</v>
      </c>
      <c r="AA67" s="50">
        <v>60</v>
      </c>
      <c r="AB67" s="50">
        <v>60</v>
      </c>
      <c r="AC67" s="50">
        <v>60</v>
      </c>
      <c r="AD67" s="50">
        <v>60</v>
      </c>
      <c r="AE67" s="50">
        <v>60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10</v>
      </c>
      <c r="AK67" s="54"/>
    </row>
    <row r="68" spans="1:40" x14ac:dyDescent="0.25">
      <c r="A68" s="60" t="s">
        <v>76</v>
      </c>
      <c r="B68" s="72">
        <v>14</v>
      </c>
      <c r="C68" s="72">
        <v>14</v>
      </c>
      <c r="D68" s="72">
        <v>14</v>
      </c>
      <c r="E68" s="72">
        <v>14</v>
      </c>
      <c r="F68" s="72">
        <v>2.6</v>
      </c>
      <c r="G68" s="72">
        <v>14</v>
      </c>
      <c r="H68" s="72">
        <v>14</v>
      </c>
      <c r="I68" s="72">
        <v>5.7</v>
      </c>
      <c r="J68" s="72">
        <v>5.6</v>
      </c>
      <c r="K68" s="72">
        <v>5.6</v>
      </c>
      <c r="L68" s="72">
        <v>4.5999999999999996</v>
      </c>
      <c r="M68" s="72">
        <v>12</v>
      </c>
      <c r="N68" s="72">
        <v>8.8000000000000007</v>
      </c>
      <c r="O68" s="72">
        <v>7</v>
      </c>
      <c r="P68" s="72">
        <v>14</v>
      </c>
      <c r="Q68" s="72">
        <v>14</v>
      </c>
      <c r="R68" s="72">
        <v>14.1</v>
      </c>
      <c r="S68" s="72">
        <v>17.2</v>
      </c>
      <c r="T68" s="72">
        <v>26</v>
      </c>
      <c r="U68" s="72">
        <v>28.3</v>
      </c>
      <c r="V68" s="72">
        <v>23.5</v>
      </c>
      <c r="W68" s="72">
        <v>20</v>
      </c>
      <c r="X68" s="72">
        <v>14.5</v>
      </c>
      <c r="Y68" s="72">
        <v>16.100000000000001</v>
      </c>
      <c r="Z68" s="72">
        <v>28.5</v>
      </c>
      <c r="AA68" s="72">
        <v>28.5</v>
      </c>
      <c r="AB68" s="72">
        <v>28</v>
      </c>
      <c r="AC68" s="72">
        <v>28</v>
      </c>
      <c r="AD68" s="72">
        <v>28.6</v>
      </c>
      <c r="AE68" s="72">
        <v>28.2</v>
      </c>
      <c r="AF68" s="72">
        <v>28.2</v>
      </c>
      <c r="AG68" s="61">
        <v>32</v>
      </c>
      <c r="AH68" s="52">
        <f t="shared" si="2"/>
        <v>28.6</v>
      </c>
      <c r="AI68" s="53">
        <f t="shared" si="3"/>
        <v>2.6</v>
      </c>
      <c r="AK68" s="54"/>
    </row>
    <row r="69" spans="1:40" ht="15.75" thickBot="1" x14ac:dyDescent="0.3">
      <c r="A69" s="78" t="s">
        <v>77</v>
      </c>
      <c r="B69" s="74">
        <v>5</v>
      </c>
      <c r="C69" s="74">
        <v>5</v>
      </c>
      <c r="D69" s="74">
        <v>5</v>
      </c>
      <c r="E69" s="74">
        <v>5</v>
      </c>
      <c r="F69" s="74">
        <v>1.58</v>
      </c>
      <c r="G69" s="74">
        <v>5.0999999999999996</v>
      </c>
      <c r="H69" s="74">
        <v>5.0999999999999996</v>
      </c>
      <c r="I69" s="74">
        <v>2.1</v>
      </c>
      <c r="J69" s="74">
        <v>2</v>
      </c>
      <c r="K69" s="74">
        <v>2</v>
      </c>
      <c r="L69" s="74">
        <v>1.6</v>
      </c>
      <c r="M69" s="74">
        <v>3.6</v>
      </c>
      <c r="N69" s="74">
        <v>3.2</v>
      </c>
      <c r="O69" s="74">
        <v>3</v>
      </c>
      <c r="P69" s="74">
        <v>5</v>
      </c>
      <c r="Q69" s="74">
        <v>5</v>
      </c>
      <c r="R69" s="74">
        <v>5.2</v>
      </c>
      <c r="S69" s="74">
        <v>6.3</v>
      </c>
      <c r="T69" s="74">
        <v>9.4</v>
      </c>
      <c r="U69" s="74">
        <v>10.3</v>
      </c>
      <c r="V69" s="74">
        <v>8.6</v>
      </c>
      <c r="W69" s="74">
        <v>7.3</v>
      </c>
      <c r="X69" s="74">
        <v>5.3</v>
      </c>
      <c r="Y69" s="74">
        <v>5.9</v>
      </c>
      <c r="Z69" s="74">
        <v>10.4</v>
      </c>
      <c r="AA69" s="74">
        <v>10.4</v>
      </c>
      <c r="AB69" s="74">
        <v>10.199999999999999</v>
      </c>
      <c r="AC69" s="74">
        <v>10.199999999999999</v>
      </c>
      <c r="AD69" s="74">
        <v>10.4</v>
      </c>
      <c r="AE69" s="74">
        <v>10.4</v>
      </c>
      <c r="AF69" s="74">
        <v>10.4</v>
      </c>
      <c r="AG69" s="75">
        <v>14</v>
      </c>
      <c r="AH69" s="52">
        <f t="shared" si="2"/>
        <v>10.4</v>
      </c>
      <c r="AI69" s="53">
        <f t="shared" si="3"/>
        <v>1.58</v>
      </c>
      <c r="AK69" s="54"/>
    </row>
    <row r="70" spans="1:40" ht="15.75" thickBot="1" x14ac:dyDescent="0.3">
      <c r="A70" s="81" t="s">
        <v>78</v>
      </c>
      <c r="B70" s="67">
        <v>49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26.200000000000003</v>
      </c>
      <c r="M70" s="67">
        <f t="shared" ref="M70:AF70" si="7">M67+M68+M69</f>
        <v>45.6</v>
      </c>
      <c r="N70" s="67">
        <f t="shared" si="7"/>
        <v>22</v>
      </c>
      <c r="O70" s="67">
        <f t="shared" si="7"/>
        <v>24</v>
      </c>
      <c r="P70" s="67">
        <f t="shared" si="7"/>
        <v>49</v>
      </c>
      <c r="Q70" s="67">
        <f t="shared" si="7"/>
        <v>49</v>
      </c>
      <c r="R70" s="67">
        <f t="shared" si="7"/>
        <v>49.300000000000004</v>
      </c>
      <c r="S70" s="67">
        <f t="shared" si="7"/>
        <v>67.5</v>
      </c>
      <c r="T70" s="67">
        <f t="shared" si="7"/>
        <v>95.4</v>
      </c>
      <c r="U70" s="67">
        <f t="shared" si="7"/>
        <v>98.6</v>
      </c>
      <c r="V70" s="67">
        <f t="shared" si="7"/>
        <v>82.1</v>
      </c>
      <c r="W70" s="67">
        <f t="shared" si="7"/>
        <v>71.3</v>
      </c>
      <c r="X70" s="67">
        <f t="shared" si="7"/>
        <v>59.8</v>
      </c>
      <c r="Y70" s="67">
        <f t="shared" si="7"/>
        <v>62</v>
      </c>
      <c r="Z70" s="67">
        <f t="shared" si="7"/>
        <v>98.9</v>
      </c>
      <c r="AA70" s="67">
        <f t="shared" si="7"/>
        <v>98.9</v>
      </c>
      <c r="AB70" s="67">
        <f t="shared" si="7"/>
        <v>98.2</v>
      </c>
      <c r="AC70" s="67">
        <f t="shared" si="7"/>
        <v>98.2</v>
      </c>
      <c r="AD70" s="67">
        <f t="shared" si="7"/>
        <v>99</v>
      </c>
      <c r="AE70" s="67">
        <f t="shared" si="7"/>
        <v>98.600000000000009</v>
      </c>
      <c r="AF70" s="67">
        <f t="shared" si="7"/>
        <v>98.600000000000009</v>
      </c>
      <c r="AG70" s="68">
        <f>SUM(AG67:AG69)</f>
        <v>106</v>
      </c>
      <c r="AH70" s="52">
        <f t="shared" si="2"/>
        <v>99</v>
      </c>
      <c r="AI70" s="53">
        <f t="shared" si="3"/>
        <v>0</v>
      </c>
      <c r="AK70" s="54"/>
    </row>
    <row r="71" spans="1:40" x14ac:dyDescent="0.25">
      <c r="A71" s="49" t="s">
        <v>79</v>
      </c>
      <c r="B71" s="50">
        <v>59</v>
      </c>
      <c r="C71" s="50">
        <v>59</v>
      </c>
      <c r="D71" s="50">
        <v>59</v>
      </c>
      <c r="E71" s="50">
        <v>52.6</v>
      </c>
      <c r="F71" s="50">
        <v>56</v>
      </c>
      <c r="G71" s="50">
        <v>57</v>
      </c>
      <c r="H71" s="50">
        <v>51.8</v>
      </c>
      <c r="I71" s="50">
        <v>51.8</v>
      </c>
      <c r="J71" s="50">
        <v>51.8</v>
      </c>
      <c r="K71" s="50">
        <v>56</v>
      </c>
      <c r="L71" s="50">
        <v>53.4</v>
      </c>
      <c r="M71" s="50">
        <v>50</v>
      </c>
      <c r="N71" s="50">
        <v>49.9</v>
      </c>
      <c r="O71" s="50">
        <v>72</v>
      </c>
      <c r="P71" s="50">
        <v>63</v>
      </c>
      <c r="Q71" s="50">
        <v>65.5</v>
      </c>
      <c r="R71" s="50">
        <v>69.599999999999994</v>
      </c>
      <c r="S71" s="50">
        <v>72.2</v>
      </c>
      <c r="T71" s="50">
        <v>71.099999999999994</v>
      </c>
      <c r="U71" s="50">
        <v>70.3</v>
      </c>
      <c r="V71" s="50">
        <v>66.5</v>
      </c>
      <c r="W71" s="50">
        <v>56.5</v>
      </c>
      <c r="X71" s="50">
        <v>63.8</v>
      </c>
      <c r="Y71" s="50">
        <v>40.5</v>
      </c>
      <c r="Z71" s="50">
        <v>48.1</v>
      </c>
      <c r="AA71" s="50">
        <v>58.4</v>
      </c>
      <c r="AB71" s="50">
        <v>66.599999999999994</v>
      </c>
      <c r="AC71" s="50">
        <v>65.7</v>
      </c>
      <c r="AD71" s="50">
        <v>66.400000000000006</v>
      </c>
      <c r="AE71" s="50">
        <v>61.2</v>
      </c>
      <c r="AF71" s="50">
        <v>61.2</v>
      </c>
      <c r="AG71" s="56"/>
      <c r="AH71" s="52">
        <f t="shared" si="2"/>
        <v>72.2</v>
      </c>
      <c r="AI71" s="53">
        <f t="shared" si="3"/>
        <v>40.5</v>
      </c>
      <c r="AK71" s="54"/>
    </row>
    <row r="72" spans="1:40" x14ac:dyDescent="0.25">
      <c r="A72" s="60" t="s">
        <v>80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250</v>
      </c>
      <c r="C73" s="72">
        <v>250</v>
      </c>
      <c r="D73" s="72">
        <v>250</v>
      </c>
      <c r="E73" s="72">
        <v>292</v>
      </c>
      <c r="F73" s="72">
        <v>354</v>
      </c>
      <c r="G73" s="72">
        <v>325</v>
      </c>
      <c r="H73" s="72">
        <v>296</v>
      </c>
      <c r="I73" s="72">
        <v>280</v>
      </c>
      <c r="J73" s="72">
        <v>412</v>
      </c>
      <c r="K73" s="72">
        <v>400</v>
      </c>
      <c r="L73" s="72">
        <v>359</v>
      </c>
      <c r="M73" s="72">
        <v>389</v>
      </c>
      <c r="N73" s="72">
        <v>373.3</v>
      </c>
      <c r="O73" s="72">
        <v>380</v>
      </c>
      <c r="P73" s="72">
        <v>390</v>
      </c>
      <c r="Q73" s="72">
        <v>393.4</v>
      </c>
      <c r="R73" s="72">
        <v>406.7</v>
      </c>
      <c r="S73" s="72">
        <v>382</v>
      </c>
      <c r="T73" s="72">
        <v>466</v>
      </c>
      <c r="U73" s="72">
        <v>459</v>
      </c>
      <c r="V73" s="72">
        <v>464</v>
      </c>
      <c r="W73" s="72">
        <v>450</v>
      </c>
      <c r="X73" s="72">
        <v>432</v>
      </c>
      <c r="Y73" s="72">
        <v>451</v>
      </c>
      <c r="Z73" s="72">
        <v>280</v>
      </c>
      <c r="AA73" s="72">
        <v>227</v>
      </c>
      <c r="AB73" s="72">
        <v>235.5</v>
      </c>
      <c r="AC73" s="72">
        <v>239.3</v>
      </c>
      <c r="AD73" s="72">
        <v>284</v>
      </c>
      <c r="AE73" s="72">
        <v>274</v>
      </c>
      <c r="AF73" s="72">
        <v>274</v>
      </c>
      <c r="AG73" s="82"/>
      <c r="AH73" s="52">
        <f t="shared" si="2"/>
        <v>466</v>
      </c>
      <c r="AI73" s="53">
        <f t="shared" si="3"/>
        <v>227</v>
      </c>
      <c r="AK73" s="54"/>
    </row>
    <row r="74" spans="1:40" x14ac:dyDescent="0.25">
      <c r="A74" s="60" t="s">
        <v>82</v>
      </c>
      <c r="B74" s="72">
        <v>58</v>
      </c>
      <c r="C74" s="72">
        <v>58</v>
      </c>
      <c r="D74" s="72">
        <v>58</v>
      </c>
      <c r="E74" s="83">
        <v>61.2</v>
      </c>
      <c r="F74" s="83">
        <v>60.2</v>
      </c>
      <c r="G74" s="83">
        <v>61.5</v>
      </c>
      <c r="H74" s="83">
        <v>61.4</v>
      </c>
      <c r="I74" s="83">
        <v>61.4</v>
      </c>
      <c r="J74" s="83">
        <v>61.4</v>
      </c>
      <c r="K74" s="83">
        <v>61</v>
      </c>
      <c r="L74" s="83">
        <v>59.2</v>
      </c>
      <c r="M74" s="83">
        <v>53.6</v>
      </c>
      <c r="N74" s="83">
        <v>47.8</v>
      </c>
      <c r="O74" s="83">
        <v>48</v>
      </c>
      <c r="P74" s="83">
        <v>49.7</v>
      </c>
      <c r="Q74" s="83">
        <v>48.7</v>
      </c>
      <c r="R74" s="83">
        <v>49</v>
      </c>
      <c r="S74" s="83">
        <v>52.2</v>
      </c>
      <c r="T74" s="83">
        <v>52.2</v>
      </c>
      <c r="U74" s="83">
        <v>50</v>
      </c>
      <c r="V74" s="83">
        <v>47.2</v>
      </c>
      <c r="W74" s="83">
        <v>47.2</v>
      </c>
      <c r="X74" s="83">
        <v>52.4</v>
      </c>
      <c r="Y74" s="83">
        <v>52.4</v>
      </c>
      <c r="Z74" s="72">
        <v>59.4</v>
      </c>
      <c r="AA74" s="72">
        <v>61.1</v>
      </c>
      <c r="AB74" s="72">
        <v>61.7</v>
      </c>
      <c r="AC74" s="72">
        <v>65.5</v>
      </c>
      <c r="AD74" s="72">
        <v>64.2</v>
      </c>
      <c r="AE74" s="72">
        <v>63.6</v>
      </c>
      <c r="AF74" s="72">
        <v>63.6</v>
      </c>
      <c r="AG74" s="82"/>
      <c r="AH74" s="52">
        <f t="shared" si="2"/>
        <v>65.5</v>
      </c>
      <c r="AI74" s="53">
        <f t="shared" si="3"/>
        <v>47.2</v>
      </c>
      <c r="AK74" s="54"/>
    </row>
    <row r="75" spans="1:40" x14ac:dyDescent="0.25">
      <c r="A75" s="60" t="s">
        <v>83</v>
      </c>
      <c r="B75" s="50">
        <v>17</v>
      </c>
      <c r="C75" s="50">
        <v>17</v>
      </c>
      <c r="D75" s="50">
        <v>17</v>
      </c>
      <c r="E75" s="50">
        <v>19</v>
      </c>
      <c r="F75" s="50">
        <v>17.2</v>
      </c>
      <c r="G75" s="50">
        <v>16</v>
      </c>
      <c r="H75" s="50">
        <v>15.5</v>
      </c>
      <c r="I75" s="50">
        <v>15.5</v>
      </c>
      <c r="J75" s="50">
        <v>15.5</v>
      </c>
      <c r="K75" s="50">
        <v>14.3</v>
      </c>
      <c r="L75" s="50">
        <v>16.5</v>
      </c>
      <c r="M75" s="50">
        <v>15.4</v>
      </c>
      <c r="N75" s="50">
        <v>15.5</v>
      </c>
      <c r="O75" s="50">
        <v>17</v>
      </c>
      <c r="P75" s="50">
        <v>20.7</v>
      </c>
      <c r="Q75" s="50">
        <v>20.9</v>
      </c>
      <c r="R75" s="50">
        <v>20.6</v>
      </c>
      <c r="S75" s="50">
        <v>19</v>
      </c>
      <c r="T75" s="50">
        <v>19</v>
      </c>
      <c r="U75" s="50">
        <v>18.7</v>
      </c>
      <c r="V75" s="50">
        <v>18.2</v>
      </c>
      <c r="W75" s="50">
        <v>18.2</v>
      </c>
      <c r="X75" s="50">
        <v>15.8</v>
      </c>
      <c r="Y75" s="50">
        <v>15.8</v>
      </c>
      <c r="Z75" s="50">
        <v>16.399999999999999</v>
      </c>
      <c r="AA75" s="50">
        <v>16.399999999999999</v>
      </c>
      <c r="AB75" s="50">
        <v>17</v>
      </c>
      <c r="AC75" s="50">
        <v>17.600000000000001</v>
      </c>
      <c r="AD75" s="50">
        <v>17.2</v>
      </c>
      <c r="AE75" s="50">
        <v>17.8</v>
      </c>
      <c r="AF75" s="50">
        <v>17.8</v>
      </c>
      <c r="AG75" s="82"/>
      <c r="AH75" s="52">
        <f t="shared" ref="AH75:AH108" si="8">MAX(B75:AF75)</f>
        <v>20.9</v>
      </c>
      <c r="AI75" s="53">
        <f t="shared" ref="AI75:AI108" si="9">MIN(B75:AF75)</f>
        <v>14.3</v>
      </c>
      <c r="AK75" s="54"/>
    </row>
    <row r="76" spans="1:40" x14ac:dyDescent="0.25">
      <c r="A76" s="60" t="s">
        <v>84</v>
      </c>
      <c r="B76" s="84">
        <v>5</v>
      </c>
      <c r="C76" s="84">
        <v>5</v>
      </c>
      <c r="D76" s="84">
        <v>5</v>
      </c>
      <c r="E76" s="84">
        <v>5</v>
      </c>
      <c r="F76" s="84">
        <v>5</v>
      </c>
      <c r="G76" s="84">
        <v>5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5</v>
      </c>
      <c r="AD76" s="84">
        <v>5</v>
      </c>
      <c r="AE76" s="84">
        <v>5</v>
      </c>
      <c r="AF76" s="84">
        <v>5</v>
      </c>
      <c r="AG76" s="82"/>
      <c r="AH76" s="52">
        <f t="shared" si="8"/>
        <v>5</v>
      </c>
      <c r="AI76" s="53">
        <f t="shared" si="9"/>
        <v>0</v>
      </c>
      <c r="AK76" s="54"/>
    </row>
    <row r="77" spans="1:40" ht="15.75" thickBot="1" x14ac:dyDescent="0.3">
      <c r="A77" s="60" t="s">
        <v>85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8"/>
        <v>0</v>
      </c>
      <c r="AI77" s="53">
        <f t="shared" si="9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8"/>
        <v>0</v>
      </c>
      <c r="AI78" s="53">
        <f t="shared" si="9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8"/>
        <v>0</v>
      </c>
      <c r="AI79" s="53">
        <f t="shared" si="9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8"/>
        <v>0</v>
      </c>
      <c r="AI80" s="53">
        <f t="shared" si="9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8"/>
        <v>0</v>
      </c>
      <c r="AI81" s="53">
        <f t="shared" si="9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v>449</v>
      </c>
      <c r="C82" s="67">
        <f t="shared" ref="C82:AF82" si="10">SUMIF(C71:C81,"&gt;0")</f>
        <v>389</v>
      </c>
      <c r="D82" s="67">
        <f t="shared" si="10"/>
        <v>389</v>
      </c>
      <c r="E82" s="67">
        <f t="shared" si="10"/>
        <v>429.8</v>
      </c>
      <c r="F82" s="67">
        <f t="shared" si="10"/>
        <v>492.4</v>
      </c>
      <c r="G82" s="67">
        <f t="shared" si="10"/>
        <v>464.5</v>
      </c>
      <c r="H82" s="67">
        <f t="shared" si="10"/>
        <v>424.7</v>
      </c>
      <c r="I82" s="67">
        <f t="shared" si="10"/>
        <v>408.7</v>
      </c>
      <c r="J82" s="67">
        <f t="shared" si="10"/>
        <v>540.70000000000005</v>
      </c>
      <c r="K82" s="67">
        <f t="shared" si="10"/>
        <v>531.29999999999995</v>
      </c>
      <c r="L82" s="67">
        <f t="shared" si="10"/>
        <v>488.09999999999997</v>
      </c>
      <c r="M82" s="67">
        <f t="shared" si="10"/>
        <v>508</v>
      </c>
      <c r="N82" s="67">
        <f t="shared" si="10"/>
        <v>486.5</v>
      </c>
      <c r="O82" s="67">
        <f t="shared" si="10"/>
        <v>517</v>
      </c>
      <c r="P82" s="67">
        <f t="shared" si="10"/>
        <v>523.4</v>
      </c>
      <c r="Q82" s="67">
        <f t="shared" si="10"/>
        <v>528.5</v>
      </c>
      <c r="R82" s="67">
        <f t="shared" si="10"/>
        <v>545.9</v>
      </c>
      <c r="S82" s="67">
        <f t="shared" si="10"/>
        <v>525.4</v>
      </c>
      <c r="T82" s="67">
        <f t="shared" si="10"/>
        <v>608.30000000000007</v>
      </c>
      <c r="U82" s="67">
        <f t="shared" si="10"/>
        <v>598</v>
      </c>
      <c r="V82" s="67">
        <f t="shared" si="10"/>
        <v>595.90000000000009</v>
      </c>
      <c r="W82" s="67">
        <f t="shared" si="10"/>
        <v>571.90000000000009</v>
      </c>
      <c r="X82" s="67">
        <f t="shared" si="10"/>
        <v>564</v>
      </c>
      <c r="Y82" s="67">
        <f t="shared" si="10"/>
        <v>559.69999999999993</v>
      </c>
      <c r="Z82" s="67">
        <f t="shared" si="10"/>
        <v>403.9</v>
      </c>
      <c r="AA82" s="67">
        <f t="shared" si="10"/>
        <v>362.9</v>
      </c>
      <c r="AB82" s="67">
        <f t="shared" si="10"/>
        <v>380.8</v>
      </c>
      <c r="AC82" s="67">
        <f t="shared" si="10"/>
        <v>393.1</v>
      </c>
      <c r="AD82" s="67">
        <f t="shared" si="10"/>
        <v>436.79999999999995</v>
      </c>
      <c r="AE82" s="67">
        <f t="shared" si="10"/>
        <v>421.6</v>
      </c>
      <c r="AF82" s="67">
        <f t="shared" si="10"/>
        <v>421.6</v>
      </c>
      <c r="AG82" s="95">
        <f>SUM(AG71:AG81)</f>
        <v>0</v>
      </c>
      <c r="AH82" s="52">
        <f t="shared" si="8"/>
        <v>608.30000000000007</v>
      </c>
      <c r="AI82" s="53">
        <f t="shared" si="9"/>
        <v>362.9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8"/>
        <v>0</v>
      </c>
      <c r="AI83" s="53">
        <f t="shared" si="9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8"/>
        <v>0</v>
      </c>
      <c r="AI84" s="53">
        <f t="shared" si="9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8"/>
        <v>0</v>
      </c>
      <c r="AI85" s="53">
        <f t="shared" si="9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8"/>
        <v>0</v>
      </c>
      <c r="AI86" s="53">
        <f t="shared" si="9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v>1287.1399999999999</v>
      </c>
      <c r="C87" s="102">
        <f t="shared" ref="C87:AG87" si="11">C48+C52+C70+C66+C82+C86</f>
        <v>1125.24</v>
      </c>
      <c r="D87" s="102">
        <f t="shared" si="11"/>
        <v>1124.24</v>
      </c>
      <c r="E87" s="102">
        <f t="shared" si="11"/>
        <v>1113.8399999999999</v>
      </c>
      <c r="F87" s="102">
        <f t="shared" si="11"/>
        <v>1099.74</v>
      </c>
      <c r="G87" s="102">
        <f t="shared" si="11"/>
        <v>1071.8400000000001</v>
      </c>
      <c r="H87" s="102">
        <f t="shared" si="11"/>
        <v>1098.74</v>
      </c>
      <c r="I87" s="102">
        <f t="shared" si="11"/>
        <v>1085.9399999999998</v>
      </c>
      <c r="J87" s="102">
        <f t="shared" si="11"/>
        <v>1166.1399999999999</v>
      </c>
      <c r="K87" s="102">
        <f t="shared" si="11"/>
        <v>1219.7399999999998</v>
      </c>
      <c r="L87" s="102">
        <f t="shared" si="11"/>
        <v>1212.04</v>
      </c>
      <c r="M87" s="102">
        <f t="shared" si="11"/>
        <v>1275.4000000000001</v>
      </c>
      <c r="N87" s="102">
        <f t="shared" si="11"/>
        <v>1238.8399999999999</v>
      </c>
      <c r="O87" s="102">
        <f t="shared" si="11"/>
        <v>1271.3399999999999</v>
      </c>
      <c r="P87" s="102">
        <f t="shared" si="11"/>
        <v>1308.94</v>
      </c>
      <c r="Q87" s="102">
        <f t="shared" si="11"/>
        <v>1301.74</v>
      </c>
      <c r="R87" s="102">
        <f t="shared" si="11"/>
        <v>1323.2399999999998</v>
      </c>
      <c r="S87" s="102">
        <f t="shared" si="11"/>
        <v>1348.44</v>
      </c>
      <c r="T87" s="102">
        <f t="shared" si="11"/>
        <v>1374.1399999999999</v>
      </c>
      <c r="U87" s="102">
        <f t="shared" si="11"/>
        <v>1352.04</v>
      </c>
      <c r="V87" s="102">
        <f t="shared" si="11"/>
        <v>1321.14</v>
      </c>
      <c r="W87" s="102">
        <f t="shared" si="11"/>
        <v>1278.3400000000001</v>
      </c>
      <c r="X87" s="102">
        <f t="shared" si="11"/>
        <v>1263.24</v>
      </c>
      <c r="Y87" s="102">
        <f t="shared" si="11"/>
        <v>1354.1399999999999</v>
      </c>
      <c r="Z87" s="102">
        <f t="shared" si="11"/>
        <v>1480.1399999999999</v>
      </c>
      <c r="AA87" s="102">
        <f t="shared" si="11"/>
        <v>1467.1399999999999</v>
      </c>
      <c r="AB87" s="102">
        <f t="shared" si="11"/>
        <v>1400.1399999999999</v>
      </c>
      <c r="AC87" s="102">
        <f t="shared" si="11"/>
        <v>1371.6399999999999</v>
      </c>
      <c r="AD87" s="102">
        <f t="shared" si="11"/>
        <v>1319.84</v>
      </c>
      <c r="AE87" s="102">
        <f t="shared" si="11"/>
        <v>1224.1399999999999</v>
      </c>
      <c r="AF87" s="102">
        <f t="shared" si="11"/>
        <v>1224.1399999999999</v>
      </c>
      <c r="AG87" s="68">
        <f t="shared" si="11"/>
        <v>2065.09</v>
      </c>
      <c r="AH87" s="52">
        <f>MAX(B87:AF87)</f>
        <v>1480.1399999999999</v>
      </c>
      <c r="AI87" s="53">
        <f>MIN(B87:AF87)</f>
        <v>1071.8400000000001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>
        <v>200</v>
      </c>
      <c r="X88" s="104">
        <v>200</v>
      </c>
      <c r="Y88" s="104">
        <v>200</v>
      </c>
      <c r="Z88" s="104">
        <v>220</v>
      </c>
      <c r="AA88" s="104">
        <v>220</v>
      </c>
      <c r="AB88" s="104">
        <v>220</v>
      </c>
      <c r="AC88" s="104">
        <v>220</v>
      </c>
      <c r="AD88" s="104">
        <v>220</v>
      </c>
      <c r="AE88" s="104">
        <v>200</v>
      </c>
      <c r="AF88" s="104"/>
      <c r="AG88" s="95"/>
      <c r="AH88" s="52">
        <f t="shared" si="8"/>
        <v>220</v>
      </c>
      <c r="AI88" s="53">
        <f t="shared" si="9"/>
        <v>200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v>1287.1399999999999</v>
      </c>
      <c r="C89" s="102">
        <f t="shared" ref="C89:AF89" si="12">C87+C88</f>
        <v>1125.24</v>
      </c>
      <c r="D89" s="102">
        <f t="shared" si="12"/>
        <v>1124.24</v>
      </c>
      <c r="E89" s="102">
        <f t="shared" si="12"/>
        <v>1113.8399999999999</v>
      </c>
      <c r="F89" s="102">
        <f t="shared" si="12"/>
        <v>1099.74</v>
      </c>
      <c r="G89" s="102">
        <f t="shared" si="12"/>
        <v>1071.8400000000001</v>
      </c>
      <c r="H89" s="102">
        <f t="shared" si="12"/>
        <v>1098.74</v>
      </c>
      <c r="I89" s="102">
        <f t="shared" si="12"/>
        <v>1085.9399999999998</v>
      </c>
      <c r="J89" s="102">
        <f t="shared" si="12"/>
        <v>1166.1399999999999</v>
      </c>
      <c r="K89" s="102">
        <f t="shared" si="12"/>
        <v>1219.7399999999998</v>
      </c>
      <c r="L89" s="102">
        <f t="shared" si="12"/>
        <v>1212.04</v>
      </c>
      <c r="M89" s="102">
        <f t="shared" si="12"/>
        <v>1275.4000000000001</v>
      </c>
      <c r="N89" s="102">
        <f t="shared" si="12"/>
        <v>1238.8399999999999</v>
      </c>
      <c r="O89" s="102">
        <f t="shared" si="12"/>
        <v>1271.3399999999999</v>
      </c>
      <c r="P89" s="102">
        <f t="shared" si="12"/>
        <v>1308.94</v>
      </c>
      <c r="Q89" s="102">
        <f t="shared" si="12"/>
        <v>1301.74</v>
      </c>
      <c r="R89" s="102">
        <f t="shared" si="12"/>
        <v>1323.2399999999998</v>
      </c>
      <c r="S89" s="102">
        <f t="shared" si="12"/>
        <v>1348.44</v>
      </c>
      <c r="T89" s="102">
        <f t="shared" si="12"/>
        <v>1374.1399999999999</v>
      </c>
      <c r="U89" s="102">
        <f t="shared" si="12"/>
        <v>1352.04</v>
      </c>
      <c r="V89" s="102">
        <f t="shared" si="12"/>
        <v>1321.14</v>
      </c>
      <c r="W89" s="102">
        <f t="shared" si="12"/>
        <v>1478.3400000000001</v>
      </c>
      <c r="X89" s="102">
        <f t="shared" si="12"/>
        <v>1463.24</v>
      </c>
      <c r="Y89" s="102">
        <f t="shared" si="12"/>
        <v>1554.1399999999999</v>
      </c>
      <c r="Z89" s="102">
        <f t="shared" si="12"/>
        <v>1700.1399999999999</v>
      </c>
      <c r="AA89" s="102">
        <f t="shared" si="12"/>
        <v>1687.1399999999999</v>
      </c>
      <c r="AB89" s="102">
        <f t="shared" si="12"/>
        <v>1620.1399999999999</v>
      </c>
      <c r="AC89" s="102">
        <f t="shared" si="12"/>
        <v>1591.6399999999999</v>
      </c>
      <c r="AD89" s="102">
        <f t="shared" si="12"/>
        <v>1539.84</v>
      </c>
      <c r="AE89" s="102">
        <f t="shared" si="12"/>
        <v>1424.1399999999999</v>
      </c>
      <c r="AF89" s="102">
        <f t="shared" si="12"/>
        <v>1224.1399999999999</v>
      </c>
      <c r="AG89" s="95">
        <f>AG86+AG82+AG70+AG66+AG48+AG88</f>
        <v>1526.99</v>
      </c>
      <c r="AH89" s="52">
        <f t="shared" si="8"/>
        <v>1700.1399999999999</v>
      </c>
      <c r="AI89" s="53">
        <f t="shared" si="9"/>
        <v>1071.8400000000001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v>1287.1399999999999</v>
      </c>
      <c r="C90" s="102">
        <f t="shared" ref="C90:AF90" si="13">C89-C97</f>
        <v>1125.24</v>
      </c>
      <c r="D90" s="102">
        <f t="shared" si="13"/>
        <v>1124.24</v>
      </c>
      <c r="E90" s="102">
        <f t="shared" si="13"/>
        <v>1113.8399999999999</v>
      </c>
      <c r="F90" s="102">
        <f t="shared" si="13"/>
        <v>1099.74</v>
      </c>
      <c r="G90" s="102">
        <f t="shared" si="13"/>
        <v>1071.8400000000001</v>
      </c>
      <c r="H90" s="102">
        <f t="shared" si="13"/>
        <v>1098.74</v>
      </c>
      <c r="I90" s="102">
        <f t="shared" si="13"/>
        <v>1085.9399999999998</v>
      </c>
      <c r="J90" s="102">
        <f t="shared" si="13"/>
        <v>1166.1399999999999</v>
      </c>
      <c r="K90" s="102">
        <f t="shared" si="13"/>
        <v>1219.7399999999998</v>
      </c>
      <c r="L90" s="102">
        <f t="shared" si="13"/>
        <v>1212.04</v>
      </c>
      <c r="M90" s="102">
        <f t="shared" si="13"/>
        <v>1275.4000000000001</v>
      </c>
      <c r="N90" s="102">
        <f t="shared" si="13"/>
        <v>1238.8399999999999</v>
      </c>
      <c r="O90" s="102">
        <f t="shared" si="13"/>
        <v>1271.3399999999999</v>
      </c>
      <c r="P90" s="102">
        <f t="shared" si="13"/>
        <v>1308.94</v>
      </c>
      <c r="Q90" s="102">
        <f t="shared" si="13"/>
        <v>1301.74</v>
      </c>
      <c r="R90" s="102">
        <f t="shared" si="13"/>
        <v>1323.2399999999998</v>
      </c>
      <c r="S90" s="102">
        <f t="shared" si="13"/>
        <v>1348.44</v>
      </c>
      <c r="T90" s="102">
        <f t="shared" si="13"/>
        <v>1374.1399999999999</v>
      </c>
      <c r="U90" s="102">
        <f t="shared" si="13"/>
        <v>1352.04</v>
      </c>
      <c r="V90" s="102">
        <f t="shared" si="13"/>
        <v>1321.14</v>
      </c>
      <c r="W90" s="102">
        <f t="shared" si="13"/>
        <v>1478.3400000000001</v>
      </c>
      <c r="X90" s="102">
        <f t="shared" si="13"/>
        <v>1463.24</v>
      </c>
      <c r="Y90" s="102">
        <f t="shared" si="13"/>
        <v>1554.1399999999999</v>
      </c>
      <c r="Z90" s="102">
        <f t="shared" si="13"/>
        <v>1700.1399999999999</v>
      </c>
      <c r="AA90" s="102">
        <f t="shared" si="13"/>
        <v>1687.1399999999999</v>
      </c>
      <c r="AB90" s="102">
        <f t="shared" si="13"/>
        <v>1620.1399999999999</v>
      </c>
      <c r="AC90" s="102">
        <f t="shared" si="13"/>
        <v>1591.6399999999999</v>
      </c>
      <c r="AD90" s="102">
        <f t="shared" si="13"/>
        <v>1539.84</v>
      </c>
      <c r="AE90" s="102">
        <f t="shared" si="13"/>
        <v>1424.1399999999999</v>
      </c>
      <c r="AF90" s="102">
        <f t="shared" si="13"/>
        <v>1224.1399999999999</v>
      </c>
      <c r="AG90" s="95"/>
      <c r="AH90" s="52">
        <f t="shared" si="8"/>
        <v>1700.1399999999999</v>
      </c>
      <c r="AI90" s="53">
        <f t="shared" si="9"/>
        <v>1071.8400000000001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8"/>
        <v>0</v>
      </c>
      <c r="AI91" s="53">
        <f t="shared" si="9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8"/>
        <v>0</v>
      </c>
      <c r="AI92" s="53">
        <f t="shared" si="9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8"/>
        <v>0</v>
      </c>
      <c r="AI93" s="53">
        <f t="shared" si="9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8"/>
        <v>0</v>
      </c>
      <c r="AI94" s="53">
        <f t="shared" si="9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8"/>
        <v>0</v>
      </c>
      <c r="AI95" s="53">
        <f t="shared" si="9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8"/>
        <v>0</v>
      </c>
      <c r="AI96" s="53">
        <f t="shared" si="9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8"/>
        <v>0</v>
      </c>
      <c r="AI97" s="53">
        <f t="shared" si="9"/>
        <v>0</v>
      </c>
      <c r="AK97" s="54"/>
    </row>
    <row r="98" spans="1:88" s="1" customFormat="1" ht="15.75" thickBot="1" x14ac:dyDescent="0.3">
      <c r="A98" s="81" t="s">
        <v>106</v>
      </c>
      <c r="B98" s="67">
        <v>449</v>
      </c>
      <c r="C98" s="67">
        <f t="shared" ref="C98:AF98" si="14">C82-C97</f>
        <v>389</v>
      </c>
      <c r="D98" s="67">
        <f t="shared" si="14"/>
        <v>389</v>
      </c>
      <c r="E98" s="67">
        <f t="shared" si="14"/>
        <v>429.8</v>
      </c>
      <c r="F98" s="67">
        <f t="shared" si="14"/>
        <v>492.4</v>
      </c>
      <c r="G98" s="67">
        <f t="shared" si="14"/>
        <v>464.5</v>
      </c>
      <c r="H98" s="67">
        <f t="shared" si="14"/>
        <v>424.7</v>
      </c>
      <c r="I98" s="67">
        <f t="shared" si="14"/>
        <v>408.7</v>
      </c>
      <c r="J98" s="67">
        <f t="shared" si="14"/>
        <v>540.70000000000005</v>
      </c>
      <c r="K98" s="67">
        <f t="shared" si="14"/>
        <v>531.29999999999995</v>
      </c>
      <c r="L98" s="67">
        <f t="shared" si="14"/>
        <v>488.09999999999997</v>
      </c>
      <c r="M98" s="67">
        <f t="shared" si="14"/>
        <v>508</v>
      </c>
      <c r="N98" s="67">
        <f t="shared" si="14"/>
        <v>486.5</v>
      </c>
      <c r="O98" s="67">
        <f t="shared" si="14"/>
        <v>517</v>
      </c>
      <c r="P98" s="67">
        <f t="shared" si="14"/>
        <v>523.4</v>
      </c>
      <c r="Q98" s="67">
        <f t="shared" si="14"/>
        <v>528.5</v>
      </c>
      <c r="R98" s="67">
        <f t="shared" si="14"/>
        <v>545.9</v>
      </c>
      <c r="S98" s="67">
        <f t="shared" si="14"/>
        <v>525.4</v>
      </c>
      <c r="T98" s="67">
        <f t="shared" si="14"/>
        <v>608.30000000000007</v>
      </c>
      <c r="U98" s="67">
        <f t="shared" si="14"/>
        <v>598</v>
      </c>
      <c r="V98" s="67">
        <f t="shared" si="14"/>
        <v>595.90000000000009</v>
      </c>
      <c r="W98" s="67">
        <f t="shared" si="14"/>
        <v>571.90000000000009</v>
      </c>
      <c r="X98" s="67">
        <f t="shared" si="14"/>
        <v>564</v>
      </c>
      <c r="Y98" s="67">
        <f t="shared" si="14"/>
        <v>559.69999999999993</v>
      </c>
      <c r="Z98" s="67">
        <f t="shared" si="14"/>
        <v>403.9</v>
      </c>
      <c r="AA98" s="67">
        <f t="shared" si="14"/>
        <v>362.9</v>
      </c>
      <c r="AB98" s="67">
        <f t="shared" si="14"/>
        <v>380.8</v>
      </c>
      <c r="AC98" s="67">
        <f t="shared" si="14"/>
        <v>393.1</v>
      </c>
      <c r="AD98" s="67">
        <f t="shared" si="14"/>
        <v>436.79999999999995</v>
      </c>
      <c r="AE98" s="67">
        <f t="shared" si="14"/>
        <v>421.6</v>
      </c>
      <c r="AF98" s="67">
        <f t="shared" si="14"/>
        <v>421.6</v>
      </c>
      <c r="AG98" s="95"/>
      <c r="AH98" s="52">
        <f t="shared" si="8"/>
        <v>608.30000000000007</v>
      </c>
      <c r="AI98" s="53">
        <f t="shared" si="9"/>
        <v>362.9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50</v>
      </c>
      <c r="C99" s="108">
        <v>50</v>
      </c>
      <c r="D99" s="108">
        <v>50</v>
      </c>
      <c r="E99" s="108">
        <v>50.094999999999999</v>
      </c>
      <c r="F99" s="108">
        <v>49.88</v>
      </c>
      <c r="G99" s="108">
        <v>50.052999999999997</v>
      </c>
      <c r="H99" s="108">
        <v>49.933999999999997</v>
      </c>
      <c r="I99" s="108">
        <v>49.933999999999997</v>
      </c>
      <c r="J99" s="108">
        <v>49.945</v>
      </c>
      <c r="K99" s="108">
        <v>50.069000000000003</v>
      </c>
      <c r="L99" s="108">
        <v>49.980200000000004</v>
      </c>
      <c r="M99" s="108">
        <v>50.1113</v>
      </c>
      <c r="N99" s="108">
        <v>50.054000000000002</v>
      </c>
      <c r="O99" s="108">
        <v>49.98</v>
      </c>
      <c r="P99" s="108">
        <v>50</v>
      </c>
      <c r="Q99" s="108">
        <v>49.905999999999999</v>
      </c>
      <c r="R99" s="108">
        <v>49.743000000000002</v>
      </c>
      <c r="S99" s="108">
        <v>49.774000000000001</v>
      </c>
      <c r="T99" s="108">
        <v>49.996000000000002</v>
      </c>
      <c r="U99" s="108">
        <v>49.966000000000001</v>
      </c>
      <c r="V99" s="108">
        <v>50.058</v>
      </c>
      <c r="W99" s="108">
        <v>49.954999999999998</v>
      </c>
      <c r="X99" s="108">
        <v>49.957000000000001</v>
      </c>
      <c r="Y99" s="108">
        <v>50.03</v>
      </c>
      <c r="Z99" s="108">
        <v>49.957000000000001</v>
      </c>
      <c r="AA99" s="108">
        <v>49.968000000000004</v>
      </c>
      <c r="AB99" s="108">
        <v>49.963000000000001</v>
      </c>
      <c r="AC99" s="108">
        <v>49.987000000000002</v>
      </c>
      <c r="AD99" s="108">
        <v>49.8</v>
      </c>
      <c r="AE99" s="108">
        <v>49.8</v>
      </c>
      <c r="AF99" s="108">
        <v>49.8</v>
      </c>
      <c r="AG99" s="109"/>
      <c r="AH99" s="52">
        <f t="shared" si="8"/>
        <v>50.1113</v>
      </c>
      <c r="AI99" s="53">
        <f t="shared" si="9"/>
        <v>49.743000000000002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128</v>
      </c>
      <c r="C100" s="72">
        <v>128</v>
      </c>
      <c r="D100" s="72">
        <v>128</v>
      </c>
      <c r="E100" s="72">
        <v>128.5</v>
      </c>
      <c r="F100" s="72">
        <v>127</v>
      </c>
      <c r="G100" s="72">
        <v>128.80000000000001</v>
      </c>
      <c r="H100" s="72">
        <v>129.19999999999999</v>
      </c>
      <c r="I100" s="72">
        <v>129.19999999999999</v>
      </c>
      <c r="J100" s="72">
        <v>125.7</v>
      </c>
      <c r="K100" s="72">
        <v>125</v>
      </c>
      <c r="L100" s="72">
        <v>126.1</v>
      </c>
      <c r="M100" s="72">
        <v>123.9</v>
      </c>
      <c r="N100" s="72">
        <v>126</v>
      </c>
      <c r="O100" s="72">
        <v>126</v>
      </c>
      <c r="P100" s="72">
        <v>126</v>
      </c>
      <c r="Q100" s="72">
        <v>126.5</v>
      </c>
      <c r="R100" s="72">
        <v>125.5</v>
      </c>
      <c r="S100" s="72">
        <v>125.4</v>
      </c>
      <c r="T100" s="72">
        <v>127.4</v>
      </c>
      <c r="U100" s="72">
        <v>126.2</v>
      </c>
      <c r="V100" s="72">
        <v>125.9</v>
      </c>
      <c r="W100" s="72">
        <v>128.9</v>
      </c>
      <c r="X100" s="72">
        <v>129.4</v>
      </c>
      <c r="Y100" s="72">
        <v>128.19999999999999</v>
      </c>
      <c r="Z100" s="72">
        <v>127.5</v>
      </c>
      <c r="AA100" s="72">
        <v>128.6</v>
      </c>
      <c r="AB100" s="72">
        <v>129.5</v>
      </c>
      <c r="AC100" s="72">
        <v>129.5</v>
      </c>
      <c r="AD100" s="72">
        <v>130.19999999999999</v>
      </c>
      <c r="AE100" s="72">
        <v>130.19999999999999</v>
      </c>
      <c r="AF100" s="72">
        <v>130.19999999999999</v>
      </c>
      <c r="AG100" s="111"/>
      <c r="AH100" s="52">
        <f t="shared" si="8"/>
        <v>130.19999999999999</v>
      </c>
      <c r="AI100" s="53">
        <f t="shared" si="9"/>
        <v>123.9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132</v>
      </c>
      <c r="C101" s="72">
        <v>132</v>
      </c>
      <c r="D101" s="72">
        <v>132</v>
      </c>
      <c r="E101" s="72">
        <v>132.5</v>
      </c>
      <c r="F101" s="72">
        <v>131.19999999999999</v>
      </c>
      <c r="G101" s="72">
        <v>132.5</v>
      </c>
      <c r="H101" s="72">
        <v>132.30000000000001</v>
      </c>
      <c r="I101" s="72">
        <v>132.30000000000001</v>
      </c>
      <c r="J101" s="72">
        <v>129</v>
      </c>
      <c r="K101" s="72">
        <v>128.6</v>
      </c>
      <c r="L101" s="72">
        <v>129.19999999999999</v>
      </c>
      <c r="M101" s="72">
        <v>127.7</v>
      </c>
      <c r="N101" s="72">
        <v>128.80000000000001</v>
      </c>
      <c r="O101" s="72">
        <v>128.80000000000001</v>
      </c>
      <c r="P101" s="72">
        <v>128.80000000000001</v>
      </c>
      <c r="Q101" s="72">
        <v>129.80000000000001</v>
      </c>
      <c r="R101" s="72">
        <v>129</v>
      </c>
      <c r="S101" s="72">
        <v>128.9</v>
      </c>
      <c r="T101" s="72">
        <v>130.4</v>
      </c>
      <c r="U101" s="72">
        <v>129.6</v>
      </c>
      <c r="V101" s="72">
        <v>130</v>
      </c>
      <c r="W101" s="72">
        <v>131.19999999999999</v>
      </c>
      <c r="X101" s="72">
        <v>131.30000000000001</v>
      </c>
      <c r="Y101" s="72">
        <v>130.6</v>
      </c>
      <c r="Z101" s="72">
        <v>129.80000000000001</v>
      </c>
      <c r="AA101" s="72">
        <v>131.30000000000001</v>
      </c>
      <c r="AB101" s="72">
        <v>132</v>
      </c>
      <c r="AC101" s="72">
        <v>132</v>
      </c>
      <c r="AD101" s="72">
        <v>132.69999999999999</v>
      </c>
      <c r="AE101" s="72">
        <v>132.69999999999999</v>
      </c>
      <c r="AF101" s="72">
        <v>132.69999999999999</v>
      </c>
      <c r="AG101" s="111"/>
      <c r="AH101" s="52">
        <f t="shared" si="8"/>
        <v>132.69999999999999</v>
      </c>
      <c r="AI101" s="53">
        <f t="shared" si="9"/>
        <v>127.7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132</v>
      </c>
      <c r="C102" s="72">
        <v>132</v>
      </c>
      <c r="D102" s="72">
        <v>132</v>
      </c>
      <c r="E102" s="72">
        <v>134.30000000000001</v>
      </c>
      <c r="F102" s="72">
        <v>132.69999999999999</v>
      </c>
      <c r="G102" s="72">
        <v>133.30000000000001</v>
      </c>
      <c r="H102" s="72">
        <v>132.1</v>
      </c>
      <c r="I102" s="72">
        <v>132.1</v>
      </c>
      <c r="J102" s="72">
        <v>128.9</v>
      </c>
      <c r="K102" s="72">
        <v>129.30000000000001</v>
      </c>
      <c r="L102" s="72">
        <v>127.5</v>
      </c>
      <c r="M102" s="72">
        <v>129.30000000000001</v>
      </c>
      <c r="N102" s="72">
        <v>127.9</v>
      </c>
      <c r="O102" s="72">
        <v>127.9</v>
      </c>
      <c r="P102" s="72">
        <v>127.9</v>
      </c>
      <c r="Q102" s="72">
        <v>127</v>
      </c>
      <c r="R102" s="72">
        <v>125.4</v>
      </c>
      <c r="S102" s="72">
        <v>125.2</v>
      </c>
      <c r="T102" s="72">
        <v>127</v>
      </c>
      <c r="U102" s="72">
        <v>129.6</v>
      </c>
      <c r="V102" s="72">
        <v>129.6</v>
      </c>
      <c r="W102" s="72">
        <v>129.80000000000001</v>
      </c>
      <c r="X102" s="72">
        <v>130.69999999999999</v>
      </c>
      <c r="Y102" s="72">
        <v>126.6</v>
      </c>
      <c r="Z102" s="72">
        <v>125.2</v>
      </c>
      <c r="AA102" s="72">
        <v>127.4</v>
      </c>
      <c r="AB102" s="72">
        <v>129.6</v>
      </c>
      <c r="AC102" s="72">
        <v>129.6</v>
      </c>
      <c r="AD102" s="72">
        <v>129.69999999999999</v>
      </c>
      <c r="AE102" s="72">
        <v>129.69999999999999</v>
      </c>
      <c r="AF102" s="72">
        <v>129.69999999999999</v>
      </c>
      <c r="AG102" s="111"/>
      <c r="AH102" s="52">
        <f t="shared" si="8"/>
        <v>134.30000000000001</v>
      </c>
      <c r="AI102" s="53">
        <f t="shared" si="9"/>
        <v>125.2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8"/>
        <v>0</v>
      </c>
      <c r="AI103" s="53">
        <f t="shared" si="9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133</v>
      </c>
      <c r="C104" s="113">
        <v>133</v>
      </c>
      <c r="D104" s="113">
        <v>133</v>
      </c>
      <c r="E104" s="113">
        <v>132.69999999999999</v>
      </c>
      <c r="F104" s="113">
        <v>132.30000000000001</v>
      </c>
      <c r="G104" s="113">
        <v>136.69999999999999</v>
      </c>
      <c r="H104" s="113">
        <v>136</v>
      </c>
      <c r="I104" s="113">
        <v>136</v>
      </c>
      <c r="J104" s="113">
        <v>132.30000000000001</v>
      </c>
      <c r="K104" s="113">
        <v>133</v>
      </c>
      <c r="L104" s="113">
        <v>136.19999999999999</v>
      </c>
      <c r="M104" s="113">
        <v>135.9</v>
      </c>
      <c r="N104" s="113">
        <v>134.9</v>
      </c>
      <c r="O104" s="113">
        <v>134.9</v>
      </c>
      <c r="P104" s="113">
        <v>134.9</v>
      </c>
      <c r="Q104" s="113">
        <v>131.4</v>
      </c>
      <c r="R104" s="113">
        <v>131.9</v>
      </c>
      <c r="S104" s="113">
        <v>132.9</v>
      </c>
      <c r="T104" s="113">
        <v>133.69999999999999</v>
      </c>
      <c r="U104" s="113">
        <v>130.9</v>
      </c>
      <c r="V104" s="113">
        <v>134.6</v>
      </c>
      <c r="W104" s="113">
        <v>133.69999999999999</v>
      </c>
      <c r="X104" s="113">
        <v>135.19999999999999</v>
      </c>
      <c r="Y104" s="113">
        <v>134.6</v>
      </c>
      <c r="Z104" s="113">
        <v>134.80000000000001</v>
      </c>
      <c r="AA104" s="113">
        <v>133</v>
      </c>
      <c r="AB104" s="113">
        <v>135.5</v>
      </c>
      <c r="AC104" s="113">
        <v>135.5</v>
      </c>
      <c r="AD104" s="113">
        <v>133.9</v>
      </c>
      <c r="AE104" s="113">
        <v>133.9</v>
      </c>
      <c r="AF104" s="113">
        <v>133.9</v>
      </c>
      <c r="AG104" s="114"/>
      <c r="AH104" s="52">
        <f t="shared" si="8"/>
        <v>136.69999999999999</v>
      </c>
      <c r="AI104" s="53">
        <f t="shared" si="9"/>
        <v>130.9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134</v>
      </c>
      <c r="C105" s="72">
        <v>134</v>
      </c>
      <c r="D105" s="72">
        <v>134</v>
      </c>
      <c r="E105" s="72">
        <v>129.30000000000001</v>
      </c>
      <c r="F105" s="72">
        <v>130.6</v>
      </c>
      <c r="G105" s="72">
        <v>133.5</v>
      </c>
      <c r="H105" s="72">
        <v>133.1</v>
      </c>
      <c r="I105" s="72">
        <v>133.1</v>
      </c>
      <c r="J105" s="72">
        <v>128.80000000000001</v>
      </c>
      <c r="K105" s="72">
        <v>124.2</v>
      </c>
      <c r="L105" s="72">
        <v>127</v>
      </c>
      <c r="M105" s="72">
        <v>132.30000000000001</v>
      </c>
      <c r="N105" s="72">
        <v>130.5</v>
      </c>
      <c r="O105" s="72">
        <v>130.5</v>
      </c>
      <c r="P105" s="72">
        <v>130.5</v>
      </c>
      <c r="Q105" s="72">
        <v>131</v>
      </c>
      <c r="R105" s="72">
        <v>121</v>
      </c>
      <c r="S105" s="72">
        <v>128.1</v>
      </c>
      <c r="T105" s="72">
        <v>124.2</v>
      </c>
      <c r="U105" s="72">
        <v>125.1</v>
      </c>
      <c r="V105" s="72">
        <v>126.5</v>
      </c>
      <c r="W105" s="72">
        <v>131.4</v>
      </c>
      <c r="X105" s="72">
        <v>130.1</v>
      </c>
      <c r="Y105" s="72">
        <v>128.1</v>
      </c>
      <c r="Z105" s="72">
        <v>126.5</v>
      </c>
      <c r="AA105" s="72">
        <v>125.8</v>
      </c>
      <c r="AB105" s="72">
        <v>127</v>
      </c>
      <c r="AC105" s="72">
        <v>127</v>
      </c>
      <c r="AD105" s="72">
        <v>131</v>
      </c>
      <c r="AE105" s="72">
        <v>131</v>
      </c>
      <c r="AF105" s="72">
        <v>131</v>
      </c>
      <c r="AG105" s="111"/>
      <c r="AH105" s="52">
        <f t="shared" si="8"/>
        <v>134</v>
      </c>
      <c r="AI105" s="53">
        <f t="shared" si="9"/>
        <v>121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66.599999999999994</v>
      </c>
      <c r="C106" s="99">
        <v>66.599999999999994</v>
      </c>
      <c r="D106" s="99">
        <v>66.599999999999994</v>
      </c>
      <c r="E106" s="99">
        <v>67</v>
      </c>
      <c r="F106" s="99">
        <v>66.2</v>
      </c>
      <c r="G106" s="99">
        <v>66.599999999999994</v>
      </c>
      <c r="H106" s="99">
        <v>66.7</v>
      </c>
      <c r="I106" s="99">
        <v>66.7</v>
      </c>
      <c r="J106" s="99">
        <v>65</v>
      </c>
      <c r="K106" s="99">
        <v>64.7</v>
      </c>
      <c r="L106" s="99">
        <v>64.8</v>
      </c>
      <c r="M106" s="99">
        <v>64.3</v>
      </c>
      <c r="N106" s="99">
        <v>64.599999999999994</v>
      </c>
      <c r="O106" s="99">
        <v>64.599999999999994</v>
      </c>
      <c r="P106" s="99">
        <v>64.599999999999994</v>
      </c>
      <c r="Q106" s="99">
        <v>65</v>
      </c>
      <c r="R106" s="99">
        <v>64.400000000000006</v>
      </c>
      <c r="S106" s="99">
        <v>64.5</v>
      </c>
      <c r="T106" s="99">
        <v>65.400000000000006</v>
      </c>
      <c r="U106" s="99">
        <v>65.2</v>
      </c>
      <c r="V106" s="99">
        <v>65.3</v>
      </c>
      <c r="W106" s="99">
        <v>65.8</v>
      </c>
      <c r="X106" s="99">
        <v>66</v>
      </c>
      <c r="Y106" s="99">
        <v>65.650000000000006</v>
      </c>
      <c r="Z106" s="99">
        <v>65.099999999999994</v>
      </c>
      <c r="AA106" s="99">
        <v>65.8</v>
      </c>
      <c r="AB106" s="99">
        <v>66</v>
      </c>
      <c r="AC106" s="99">
        <v>66</v>
      </c>
      <c r="AD106" s="99">
        <v>66.400000000000006</v>
      </c>
      <c r="AE106" s="99">
        <v>66.400000000000006</v>
      </c>
      <c r="AF106" s="99">
        <v>66.400000000000006</v>
      </c>
      <c r="AG106" s="115"/>
      <c r="AH106" s="52">
        <f t="shared" si="8"/>
        <v>67</v>
      </c>
      <c r="AI106" s="53">
        <f t="shared" si="9"/>
        <v>64.3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8"/>
        <v>0</v>
      </c>
      <c r="AI107" s="53">
        <f t="shared" si="9"/>
        <v>0</v>
      </c>
    </row>
    <row r="108" spans="1:88" ht="15.75" thickBot="1" x14ac:dyDescent="0.3">
      <c r="A108" s="117" t="s">
        <v>116</v>
      </c>
      <c r="B108" s="118">
        <v>133.9</v>
      </c>
      <c r="C108" s="118">
        <f t="shared" ref="C108:AD108" si="15">SUM(C18,C24,C27:C28,C56,C58:C59,C61,C63,C109:C113,C135,C141,C147,C156,C158,C170,C177,C180:C181,C188,C190,C192,C196:C198,C200:C202,C207,C213:C214,C216:C218,C226,C231)</f>
        <v>124.14</v>
      </c>
      <c r="D108" s="118">
        <f t="shared" si="15"/>
        <v>123.14</v>
      </c>
      <c r="E108" s="118">
        <f t="shared" si="15"/>
        <v>76.94</v>
      </c>
      <c r="F108" s="118">
        <f t="shared" si="15"/>
        <v>85.84</v>
      </c>
      <c r="G108" s="118">
        <f t="shared" si="15"/>
        <v>104.74</v>
      </c>
      <c r="H108" s="118">
        <f t="shared" si="15"/>
        <v>124.14</v>
      </c>
      <c r="I108" s="118">
        <f t="shared" si="15"/>
        <v>144.94</v>
      </c>
      <c r="J108" s="118">
        <f t="shared" si="15"/>
        <v>175.04</v>
      </c>
      <c r="K108" s="118">
        <f t="shared" si="15"/>
        <v>194.94</v>
      </c>
      <c r="L108" s="118">
        <f t="shared" si="15"/>
        <v>220.24</v>
      </c>
      <c r="M108" s="118">
        <f t="shared" si="15"/>
        <v>231.34</v>
      </c>
      <c r="N108" s="118">
        <f t="shared" si="15"/>
        <v>249.14</v>
      </c>
      <c r="O108" s="118">
        <f t="shared" si="15"/>
        <v>244.04</v>
      </c>
      <c r="P108" s="118">
        <v>42</v>
      </c>
      <c r="Q108" s="118">
        <f t="shared" si="15"/>
        <v>199.8</v>
      </c>
      <c r="R108" s="118">
        <f t="shared" si="15"/>
        <v>200.5</v>
      </c>
      <c r="S108" s="118">
        <f t="shared" si="15"/>
        <v>206.2</v>
      </c>
      <c r="T108" s="118">
        <f t="shared" si="15"/>
        <v>215.89999999999998</v>
      </c>
      <c r="U108" s="118">
        <f t="shared" si="15"/>
        <v>209</v>
      </c>
      <c r="V108" s="118">
        <f t="shared" si="15"/>
        <v>226.39999999999998</v>
      </c>
      <c r="W108" s="118">
        <f t="shared" si="15"/>
        <v>237.5</v>
      </c>
      <c r="X108" s="118">
        <f t="shared" si="15"/>
        <v>253.3</v>
      </c>
      <c r="Y108" s="118">
        <f t="shared" si="15"/>
        <v>288.39999999999998</v>
      </c>
      <c r="Z108" s="118">
        <f t="shared" si="15"/>
        <v>318.7</v>
      </c>
      <c r="AA108" s="118">
        <f t="shared" si="15"/>
        <v>300.8</v>
      </c>
      <c r="AB108" s="118">
        <f t="shared" si="15"/>
        <v>280.70000000000005</v>
      </c>
      <c r="AC108" s="118">
        <f t="shared" si="15"/>
        <v>252.70000000000002</v>
      </c>
      <c r="AD108" s="118">
        <f t="shared" si="15"/>
        <v>230.2</v>
      </c>
      <c r="AE108" s="118">
        <f>SUM(AE18,AE24,AE27:AE28,AE56,AE58:AE59,AE61,AE63,AE109:AE113,AE135,AE141,AE147,AE156,AE158,AE170,AE177,AE180:AE181,AE188,AE190,AE192,AE196:AE198,AE200:AE202,AE207,AE213:AE214,AE216:AE218,AE226,AE231)</f>
        <v>198</v>
      </c>
      <c r="AF108" s="118">
        <f>SUM(AF18,AF24,AF27:AF28,AF56,AF58:AF59,AF61,AF63,AF109:AF113,AF135,AF141,AF147,AF156,AF158,AF170,AF177,AF180:AF181,AF188,AF190,AF192,AF196:AF198,AF200:AF202,AF207,AF213:AF214,AF216:AF218,AF226,AF231)</f>
        <v>198.4</v>
      </c>
      <c r="AG108" s="119"/>
      <c r="AH108" s="52">
        <f t="shared" si="8"/>
        <v>318.7</v>
      </c>
      <c r="AI108" s="53">
        <f t="shared" si="9"/>
        <v>42</v>
      </c>
    </row>
    <row r="109" spans="1:88" x14ac:dyDescent="0.25">
      <c r="A109" s="107" t="s">
        <v>117</v>
      </c>
      <c r="B109" s="120">
        <v>-3</v>
      </c>
      <c r="C109" s="120">
        <v>-3</v>
      </c>
      <c r="D109" s="120">
        <v>-3</v>
      </c>
      <c r="E109" s="120">
        <v>-16.8</v>
      </c>
      <c r="F109" s="120">
        <v>-28.1</v>
      </c>
      <c r="G109" s="120">
        <v>-20.7</v>
      </c>
      <c r="H109" s="120">
        <v>-11.3</v>
      </c>
      <c r="I109" s="120">
        <v>-7.2</v>
      </c>
      <c r="J109" s="120">
        <v>-7.5</v>
      </c>
      <c r="K109" s="120">
        <v>1.7</v>
      </c>
      <c r="L109" s="120">
        <v>9.1999999999999993</v>
      </c>
      <c r="M109" s="120">
        <v>18.7</v>
      </c>
      <c r="N109" s="120">
        <v>20.5</v>
      </c>
      <c r="O109" s="120">
        <v>18.5</v>
      </c>
      <c r="P109" s="120">
        <v>17.3</v>
      </c>
      <c r="Q109" s="120">
        <v>4.8</v>
      </c>
      <c r="R109" s="120">
        <v>0</v>
      </c>
      <c r="S109" s="120">
        <v>7.6</v>
      </c>
      <c r="T109" s="120">
        <v>-0.9</v>
      </c>
      <c r="U109" s="120">
        <v>-3.7</v>
      </c>
      <c r="V109" s="120">
        <v>1.1000000000000001</v>
      </c>
      <c r="W109" s="120">
        <v>1.9</v>
      </c>
      <c r="X109" s="120">
        <v>4.7</v>
      </c>
      <c r="Y109" s="120">
        <v>10.7</v>
      </c>
      <c r="Z109" s="120">
        <v>19.7</v>
      </c>
      <c r="AA109" s="120">
        <v>13.4</v>
      </c>
      <c r="AB109" s="120">
        <v>9.1999999999999993</v>
      </c>
      <c r="AC109" s="120">
        <v>5.2</v>
      </c>
      <c r="AD109" s="120">
        <v>4.3</v>
      </c>
      <c r="AE109" s="120">
        <v>-4.0999999999999996</v>
      </c>
      <c r="AF109" s="120">
        <v>-5</v>
      </c>
      <c r="AG109" s="121">
        <v>75</v>
      </c>
      <c r="AH109" s="52">
        <f t="shared" ref="AH109:AH117" si="16">MAX(B109:AF109)</f>
        <v>20.5</v>
      </c>
      <c r="AI109" s="53">
        <f t="shared" ref="AI109:AI117" si="17">MIN(B109:AF109)</f>
        <v>-28.1</v>
      </c>
    </row>
    <row r="110" spans="1:88" x14ac:dyDescent="0.25">
      <c r="A110" s="110" t="s">
        <v>118</v>
      </c>
      <c r="B110" s="122">
        <v>0</v>
      </c>
      <c r="C110" s="122">
        <v>0</v>
      </c>
      <c r="D110" s="122">
        <v>0</v>
      </c>
      <c r="E110" s="122">
        <v>-19.2</v>
      </c>
      <c r="F110" s="122">
        <v>-34.5</v>
      </c>
      <c r="G110" s="122">
        <v>-25.1</v>
      </c>
      <c r="H110" s="122">
        <v>-10.7</v>
      </c>
      <c r="I110" s="122">
        <v>-6.6</v>
      </c>
      <c r="J110" s="122">
        <v>-10.4</v>
      </c>
      <c r="K110" s="122">
        <v>1.7</v>
      </c>
      <c r="L110" s="122">
        <v>9</v>
      </c>
      <c r="M110" s="122">
        <v>22.5</v>
      </c>
      <c r="N110" s="122">
        <v>24.3</v>
      </c>
      <c r="O110" s="122">
        <v>21</v>
      </c>
      <c r="P110" s="122">
        <v>22.8</v>
      </c>
      <c r="Q110" s="122">
        <v>11.7</v>
      </c>
      <c r="R110" s="122">
        <v>2.8</v>
      </c>
      <c r="S110" s="122">
        <v>13.6</v>
      </c>
      <c r="T110" s="122">
        <v>1.5</v>
      </c>
      <c r="U110" s="122">
        <v>-4</v>
      </c>
      <c r="V110" s="122">
        <v>-1.5</v>
      </c>
      <c r="W110" s="122">
        <v>-1.7</v>
      </c>
      <c r="X110" s="122">
        <v>2.2999999999999998</v>
      </c>
      <c r="Y110" s="122">
        <v>11.4</v>
      </c>
      <c r="Z110" s="122">
        <v>22.7</v>
      </c>
      <c r="AA110" s="122">
        <v>15.6</v>
      </c>
      <c r="AB110" s="122">
        <v>9.6999999999999993</v>
      </c>
      <c r="AC110" s="122">
        <v>5.7</v>
      </c>
      <c r="AD110" s="122">
        <v>4.5</v>
      </c>
      <c r="AE110" s="122">
        <v>-3.5</v>
      </c>
      <c r="AF110" s="122">
        <v>-4.2</v>
      </c>
      <c r="AG110" s="121">
        <v>240</v>
      </c>
      <c r="AH110" s="52">
        <f t="shared" si="16"/>
        <v>24.3</v>
      </c>
      <c r="AI110" s="53">
        <f t="shared" si="17"/>
        <v>-34.5</v>
      </c>
    </row>
    <row r="111" spans="1:88" x14ac:dyDescent="0.25">
      <c r="A111" s="110" t="s">
        <v>119</v>
      </c>
      <c r="B111" s="122">
        <v>-36</v>
      </c>
      <c r="C111" s="122">
        <v>-36</v>
      </c>
      <c r="D111" s="122">
        <v>-36</v>
      </c>
      <c r="E111" s="122">
        <v>-62</v>
      </c>
      <c r="F111" s="122">
        <v>-44.8</v>
      </c>
      <c r="G111" s="122">
        <v>-45.5</v>
      </c>
      <c r="H111" s="122">
        <v>-44.6</v>
      </c>
      <c r="I111" s="122">
        <v>-33.9</v>
      </c>
      <c r="J111" s="122">
        <v>-16.5</v>
      </c>
      <c r="K111" s="122">
        <v>-20.8</v>
      </c>
      <c r="L111" s="122">
        <v>-14.5</v>
      </c>
      <c r="M111" s="122">
        <v>-22.6</v>
      </c>
      <c r="N111" s="122">
        <v>-4.0999999999999996</v>
      </c>
      <c r="O111" s="122">
        <v>-8</v>
      </c>
      <c r="P111" s="122">
        <v>-23.6</v>
      </c>
      <c r="Q111" s="122">
        <v>-22</v>
      </c>
      <c r="R111" s="122">
        <v>-21.4</v>
      </c>
      <c r="S111" s="122">
        <v>-28</v>
      </c>
      <c r="T111" s="122">
        <v>-13</v>
      </c>
      <c r="U111" s="122">
        <v>-9</v>
      </c>
      <c r="V111" s="122">
        <v>-6</v>
      </c>
      <c r="W111" s="122">
        <v>18</v>
      </c>
      <c r="X111" s="122">
        <v>26</v>
      </c>
      <c r="Y111" s="122">
        <v>27</v>
      </c>
      <c r="Z111" s="122">
        <v>30</v>
      </c>
      <c r="AA111" s="122">
        <v>23</v>
      </c>
      <c r="AB111" s="122">
        <v>27.5</v>
      </c>
      <c r="AC111" s="122">
        <v>23.2</v>
      </c>
      <c r="AD111" s="122">
        <f>11.9+4.4</f>
        <v>16.3</v>
      </c>
      <c r="AE111" s="122">
        <v>10</v>
      </c>
      <c r="AF111" s="122">
        <v>6</v>
      </c>
      <c r="AG111" s="121">
        <v>240</v>
      </c>
      <c r="AH111" s="52">
        <f t="shared" si="16"/>
        <v>30</v>
      </c>
      <c r="AI111" s="53">
        <f t="shared" si="17"/>
        <v>-62</v>
      </c>
    </row>
    <row r="112" spans="1:88" x14ac:dyDescent="0.25">
      <c r="A112" s="110" t="s">
        <v>120</v>
      </c>
      <c r="B112" s="122">
        <v>14</v>
      </c>
      <c r="C112" s="122">
        <v>14</v>
      </c>
      <c r="D112" s="122">
        <v>14</v>
      </c>
      <c r="E112" s="122">
        <v>15.7</v>
      </c>
      <c r="F112" s="122">
        <v>11.4</v>
      </c>
      <c r="G112" s="122">
        <v>18.600000000000001</v>
      </c>
      <c r="H112" s="122">
        <v>15.6</v>
      </c>
      <c r="I112" s="122">
        <v>11.9</v>
      </c>
      <c r="J112" s="122">
        <v>15.7</v>
      </c>
      <c r="K112" s="122">
        <v>14.7</v>
      </c>
      <c r="L112" s="122">
        <v>23.2</v>
      </c>
      <c r="M112" s="122">
        <v>19.3</v>
      </c>
      <c r="N112" s="122">
        <v>14.1</v>
      </c>
      <c r="O112" s="122">
        <v>16</v>
      </c>
      <c r="P112" s="122">
        <v>23</v>
      </c>
      <c r="Q112" s="122">
        <v>23.6</v>
      </c>
      <c r="R112" s="122">
        <v>22.4</v>
      </c>
      <c r="S112" s="122">
        <v>30</v>
      </c>
      <c r="T112" s="122">
        <v>41</v>
      </c>
      <c r="U112" s="122">
        <v>43</v>
      </c>
      <c r="V112" s="122">
        <v>38</v>
      </c>
      <c r="W112" s="122">
        <v>38</v>
      </c>
      <c r="X112" s="122">
        <v>35.200000000000003</v>
      </c>
      <c r="Y112" s="122">
        <v>47</v>
      </c>
      <c r="Z112" s="122">
        <v>51</v>
      </c>
      <c r="AA112" s="122">
        <v>49.5</v>
      </c>
      <c r="AB112" s="122">
        <v>48.3</v>
      </c>
      <c r="AC112" s="122">
        <v>47.1</v>
      </c>
      <c r="AD112" s="122">
        <v>45</v>
      </c>
      <c r="AE112" s="122">
        <v>34</v>
      </c>
      <c r="AF112" s="122">
        <v>41</v>
      </c>
      <c r="AG112" s="121">
        <v>60</v>
      </c>
      <c r="AH112" s="52">
        <f t="shared" si="16"/>
        <v>51</v>
      </c>
      <c r="AI112" s="53">
        <f t="shared" si="17"/>
        <v>11.4</v>
      </c>
    </row>
    <row r="113" spans="1:37" x14ac:dyDescent="0.25">
      <c r="A113" s="123" t="s">
        <v>121</v>
      </c>
      <c r="B113" s="124">
        <v>70</v>
      </c>
      <c r="C113" s="124">
        <v>70</v>
      </c>
      <c r="D113" s="124">
        <v>70</v>
      </c>
      <c r="E113" s="124">
        <v>77.3</v>
      </c>
      <c r="F113" s="124">
        <v>99.9</v>
      </c>
      <c r="G113" s="124">
        <v>95.5</v>
      </c>
      <c r="H113" s="124">
        <v>86.4</v>
      </c>
      <c r="I113" s="124">
        <v>92</v>
      </c>
      <c r="J113" s="124">
        <v>105</v>
      </c>
      <c r="K113" s="124">
        <v>105.1</v>
      </c>
      <c r="L113" s="124">
        <v>103</v>
      </c>
      <c r="M113" s="124">
        <v>97</v>
      </c>
      <c r="N113" s="124">
        <v>96.8</v>
      </c>
      <c r="O113" s="124">
        <v>99</v>
      </c>
      <c r="P113" s="124">
        <v>82.3</v>
      </c>
      <c r="Q113" s="124">
        <v>85.4</v>
      </c>
      <c r="R113" s="124">
        <v>100.4</v>
      </c>
      <c r="S113" s="124">
        <v>86.7</v>
      </c>
      <c r="T113" s="124">
        <v>91</v>
      </c>
      <c r="U113" s="124">
        <v>86.4</v>
      </c>
      <c r="V113" s="124">
        <v>98.5</v>
      </c>
      <c r="W113" s="124">
        <v>93</v>
      </c>
      <c r="X113" s="124">
        <v>96.8</v>
      </c>
      <c r="Y113" s="124">
        <v>104</v>
      </c>
      <c r="Z113" s="124">
        <v>107</v>
      </c>
      <c r="AA113" s="124">
        <v>111</v>
      </c>
      <c r="AB113" s="124">
        <v>98.4</v>
      </c>
      <c r="AC113" s="124">
        <v>83.9</v>
      </c>
      <c r="AD113" s="124">
        <v>70.5</v>
      </c>
      <c r="AE113" s="124">
        <v>72</v>
      </c>
      <c r="AF113" s="124">
        <v>71</v>
      </c>
      <c r="AG113" s="125">
        <v>120</v>
      </c>
      <c r="AH113" s="52">
        <f t="shared" si="16"/>
        <v>111</v>
      </c>
      <c r="AI113" s="53">
        <f t="shared" si="17"/>
        <v>70</v>
      </c>
    </row>
    <row r="114" spans="1:37" x14ac:dyDescent="0.25">
      <c r="A114" s="123" t="s">
        <v>122</v>
      </c>
      <c r="B114" s="124">
        <v>80</v>
      </c>
      <c r="C114" s="124">
        <v>80</v>
      </c>
      <c r="D114" s="124">
        <v>80</v>
      </c>
      <c r="E114" s="124">
        <v>86.1</v>
      </c>
      <c r="F114" s="124">
        <v>105</v>
      </c>
      <c r="G114" s="124">
        <v>102.5</v>
      </c>
      <c r="H114" s="124">
        <v>88.9</v>
      </c>
      <c r="I114" s="124">
        <v>92.2</v>
      </c>
      <c r="J114" s="124">
        <v>108.3</v>
      </c>
      <c r="K114" s="124">
        <v>105.2</v>
      </c>
      <c r="L114" s="124">
        <v>102.5</v>
      </c>
      <c r="M114" s="124">
        <v>95.4</v>
      </c>
      <c r="N114" s="124">
        <v>91.7</v>
      </c>
      <c r="O114" s="124">
        <v>97</v>
      </c>
      <c r="P114" s="124">
        <v>85</v>
      </c>
      <c r="Q114" s="124">
        <v>91.6</v>
      </c>
      <c r="R114" s="124">
        <v>106.6</v>
      </c>
      <c r="S114" s="124">
        <v>93</v>
      </c>
      <c r="T114" s="124">
        <v>96</v>
      </c>
      <c r="U114" s="124">
        <v>91</v>
      </c>
      <c r="V114" s="124">
        <v>104</v>
      </c>
      <c r="W114" s="124">
        <v>88</v>
      </c>
      <c r="X114" s="124">
        <v>86</v>
      </c>
      <c r="Y114" s="124">
        <v>78</v>
      </c>
      <c r="Z114" s="124">
        <v>76</v>
      </c>
      <c r="AA114" s="124">
        <v>79</v>
      </c>
      <c r="AB114" s="124">
        <v>72.900000000000006</v>
      </c>
      <c r="AC114" s="124">
        <v>70.7</v>
      </c>
      <c r="AD114" s="124">
        <v>73.5</v>
      </c>
      <c r="AE114" s="124">
        <v>83</v>
      </c>
      <c r="AF114" s="124">
        <v>83.1</v>
      </c>
      <c r="AG114" s="125"/>
      <c r="AH114" s="52">
        <f t="shared" si="16"/>
        <v>108.3</v>
      </c>
      <c r="AI114" s="53">
        <f t="shared" si="17"/>
        <v>70.7</v>
      </c>
    </row>
    <row r="115" spans="1:37" x14ac:dyDescent="0.25">
      <c r="A115" s="123" t="s">
        <v>123</v>
      </c>
      <c r="B115" s="124">
        <v>83</v>
      </c>
      <c r="C115" s="124">
        <v>83</v>
      </c>
      <c r="D115" s="124">
        <v>83</v>
      </c>
      <c r="E115" s="124">
        <v>55.2</v>
      </c>
      <c r="F115" s="124">
        <v>54</v>
      </c>
      <c r="G115" s="124">
        <v>46.6</v>
      </c>
      <c r="H115" s="124">
        <v>48.8</v>
      </c>
      <c r="I115" s="124">
        <v>45</v>
      </c>
      <c r="J115" s="124">
        <v>52</v>
      </c>
      <c r="K115" s="124">
        <v>43.5</v>
      </c>
      <c r="L115" s="124">
        <v>35.299999999999997</v>
      </c>
      <c r="M115" s="124">
        <v>20.5</v>
      </c>
      <c r="N115" s="124">
        <v>22.9</v>
      </c>
      <c r="O115" s="124">
        <v>24</v>
      </c>
      <c r="P115" s="124">
        <v>26.9</v>
      </c>
      <c r="Q115" s="124">
        <v>38.299999999999997</v>
      </c>
      <c r="R115" s="124">
        <v>44.4</v>
      </c>
      <c r="S115" s="124">
        <v>36</v>
      </c>
      <c r="T115" s="124">
        <v>35</v>
      </c>
      <c r="U115" s="124">
        <v>40</v>
      </c>
      <c r="V115" s="124">
        <v>39.1</v>
      </c>
      <c r="W115" s="124">
        <v>31.5</v>
      </c>
      <c r="X115" s="124">
        <v>30</v>
      </c>
      <c r="Y115" s="124">
        <v>36</v>
      </c>
      <c r="Z115" s="124">
        <v>36</v>
      </c>
      <c r="AA115" s="124">
        <v>38</v>
      </c>
      <c r="AB115" s="124">
        <v>33.9</v>
      </c>
      <c r="AC115" s="124">
        <v>31</v>
      </c>
      <c r="AD115" s="124">
        <v>32.799999999999997</v>
      </c>
      <c r="AE115" s="124"/>
      <c r="AF115" s="124"/>
      <c r="AG115" s="126"/>
      <c r="AH115" s="52">
        <f t="shared" si="16"/>
        <v>83</v>
      </c>
      <c r="AI115" s="53">
        <f t="shared" si="17"/>
        <v>20.5</v>
      </c>
    </row>
    <row r="116" spans="1:37" x14ac:dyDescent="0.25">
      <c r="A116" s="127" t="s">
        <v>124</v>
      </c>
      <c r="B116" s="113">
        <v>-9</v>
      </c>
      <c r="C116" s="113">
        <v>-9</v>
      </c>
      <c r="D116" s="113">
        <v>-9</v>
      </c>
      <c r="E116" s="113">
        <v>-14.3</v>
      </c>
      <c r="F116" s="113">
        <v>-11</v>
      </c>
      <c r="G116" s="113">
        <v>-16.3</v>
      </c>
      <c r="H116" s="113">
        <v>-16.8</v>
      </c>
      <c r="I116" s="113">
        <v>-15</v>
      </c>
      <c r="J116" s="113">
        <v>-24.7</v>
      </c>
      <c r="K116" s="113">
        <v>-29.5</v>
      </c>
      <c r="L116" s="113">
        <v>-33.5</v>
      </c>
      <c r="M116" s="113">
        <v>-37.299999999999997</v>
      </c>
      <c r="N116" s="113">
        <v>-38.799999999999997</v>
      </c>
      <c r="O116" s="113">
        <v>-46</v>
      </c>
      <c r="P116" s="113">
        <v>-49</v>
      </c>
      <c r="Q116" s="113">
        <v>-37.5</v>
      </c>
      <c r="R116" s="113">
        <v>-31.8</v>
      </c>
      <c r="S116" s="113">
        <v>-30</v>
      </c>
      <c r="T116" s="113">
        <v>-33</v>
      </c>
      <c r="U116" s="113">
        <v>-37</v>
      </c>
      <c r="V116" s="113">
        <v>-42.2</v>
      </c>
      <c r="W116" s="113">
        <v>-43.4</v>
      </c>
      <c r="X116" s="113">
        <v>-47</v>
      </c>
      <c r="Y116" s="113">
        <v>-57</v>
      </c>
      <c r="Z116" s="113">
        <v>-58</v>
      </c>
      <c r="AA116" s="113">
        <v>-55</v>
      </c>
      <c r="AB116" s="113">
        <v>-53.7</v>
      </c>
      <c r="AC116" s="113">
        <v>-49.4</v>
      </c>
      <c r="AD116" s="113">
        <v>-48.1</v>
      </c>
      <c r="AE116" s="113">
        <v>-40</v>
      </c>
      <c r="AF116" s="113">
        <v>-39</v>
      </c>
      <c r="AG116" s="126"/>
      <c r="AH116" s="52">
        <f t="shared" si="16"/>
        <v>-9</v>
      </c>
      <c r="AI116" s="53">
        <f t="shared" si="17"/>
        <v>-58</v>
      </c>
    </row>
    <row r="117" spans="1:37" ht="15.75" thickBot="1" x14ac:dyDescent="0.3">
      <c r="A117" s="127" t="s">
        <v>125</v>
      </c>
      <c r="B117" s="113">
        <v>93</v>
      </c>
      <c r="C117" s="113">
        <v>93</v>
      </c>
      <c r="D117" s="113">
        <v>93</v>
      </c>
      <c r="E117" s="113">
        <v>80</v>
      </c>
      <c r="F117" s="113">
        <v>72.8</v>
      </c>
      <c r="G117" s="113">
        <v>70.5</v>
      </c>
      <c r="H117" s="113">
        <v>64.3</v>
      </c>
      <c r="I117" s="113">
        <v>57</v>
      </c>
      <c r="J117" s="113" t="s">
        <v>256</v>
      </c>
      <c r="K117" s="113">
        <v>74.2</v>
      </c>
      <c r="L117" s="113">
        <v>78.8</v>
      </c>
      <c r="M117" s="113">
        <v>83.2</v>
      </c>
      <c r="N117" s="113">
        <v>92.7</v>
      </c>
      <c r="O117" s="113">
        <v>112</v>
      </c>
      <c r="P117" s="113">
        <v>111.6</v>
      </c>
      <c r="Q117" s="113">
        <v>105.9</v>
      </c>
      <c r="R117" s="113">
        <v>104.4</v>
      </c>
      <c r="S117" s="113">
        <v>108</v>
      </c>
      <c r="T117" s="113">
        <v>110</v>
      </c>
      <c r="U117" s="113">
        <v>108</v>
      </c>
      <c r="V117" s="113">
        <v>88</v>
      </c>
      <c r="W117" s="113">
        <v>89.2</v>
      </c>
      <c r="X117" s="113">
        <v>89</v>
      </c>
      <c r="Y117" s="113">
        <v>106</v>
      </c>
      <c r="Z117" s="113">
        <v>118</v>
      </c>
      <c r="AA117" s="113">
        <v>116</v>
      </c>
      <c r="AB117" s="113">
        <v>115</v>
      </c>
      <c r="AC117" s="113">
        <v>117.9</v>
      </c>
      <c r="AD117" s="113">
        <v>117.2</v>
      </c>
      <c r="AE117" s="113">
        <v>114</v>
      </c>
      <c r="AF117" s="113">
        <v>114</v>
      </c>
      <c r="AG117" s="126"/>
      <c r="AH117" s="52">
        <f t="shared" si="16"/>
        <v>118</v>
      </c>
      <c r="AI117" s="53">
        <f t="shared" si="17"/>
        <v>57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18">SUM(B119:B223)</f>
        <v>0</v>
      </c>
      <c r="C224" s="144">
        <f t="shared" si="18"/>
        <v>0</v>
      </c>
      <c r="D224" s="144">
        <f t="shared" si="18"/>
        <v>0</v>
      </c>
      <c r="E224" s="144">
        <f t="shared" si="18"/>
        <v>0</v>
      </c>
      <c r="F224" s="144">
        <f t="shared" si="18"/>
        <v>0</v>
      </c>
      <c r="G224" s="144">
        <f t="shared" si="18"/>
        <v>0</v>
      </c>
      <c r="H224" s="144">
        <f t="shared" si="18"/>
        <v>0</v>
      </c>
      <c r="I224" s="144">
        <f t="shared" si="18"/>
        <v>0</v>
      </c>
      <c r="J224" s="144">
        <f t="shared" si="18"/>
        <v>0</v>
      </c>
      <c r="K224" s="144">
        <f t="shared" si="18"/>
        <v>0</v>
      </c>
      <c r="L224" s="144">
        <f t="shared" si="18"/>
        <v>0</v>
      </c>
      <c r="M224" s="144">
        <f t="shared" si="18"/>
        <v>0</v>
      </c>
      <c r="N224" s="144">
        <f t="shared" si="18"/>
        <v>0</v>
      </c>
      <c r="O224" s="144">
        <f t="shared" si="18"/>
        <v>0</v>
      </c>
      <c r="P224" s="144">
        <f t="shared" si="18"/>
        <v>0</v>
      </c>
      <c r="Q224" s="144">
        <f t="shared" si="18"/>
        <v>0</v>
      </c>
      <c r="R224" s="144">
        <f t="shared" si="18"/>
        <v>0</v>
      </c>
      <c r="S224" s="144">
        <f t="shared" si="18"/>
        <v>0</v>
      </c>
      <c r="T224" s="144">
        <f t="shared" si="18"/>
        <v>0</v>
      </c>
      <c r="U224" s="144">
        <f t="shared" si="18"/>
        <v>0</v>
      </c>
      <c r="V224" s="144">
        <f t="shared" si="18"/>
        <v>0</v>
      </c>
      <c r="W224" s="144">
        <f t="shared" si="18"/>
        <v>0</v>
      </c>
      <c r="X224" s="144">
        <f t="shared" si="18"/>
        <v>0</v>
      </c>
      <c r="Y224" s="144">
        <f t="shared" si="18"/>
        <v>0</v>
      </c>
      <c r="Z224" s="144">
        <f t="shared" si="18"/>
        <v>0</v>
      </c>
      <c r="AA224" s="144">
        <f t="shared" si="18"/>
        <v>0</v>
      </c>
      <c r="AB224" s="144">
        <f t="shared" si="18"/>
        <v>0</v>
      </c>
      <c r="AC224" s="144">
        <f t="shared" si="18"/>
        <v>0</v>
      </c>
      <c r="AD224" s="144">
        <f t="shared" si="18"/>
        <v>0</v>
      </c>
      <c r="AE224" s="144">
        <f t="shared" si="18"/>
        <v>0</v>
      </c>
      <c r="AF224" s="145">
        <f t="shared" si="18"/>
        <v>0</v>
      </c>
      <c r="AG224" s="146">
        <f t="shared" si="18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19">AF226</f>
        <v>0</v>
      </c>
      <c r="C226" s="149">
        <v>0.3</v>
      </c>
      <c r="D226" s="149">
        <f t="shared" ref="D226:P231" si="20">C226</f>
        <v>0.3</v>
      </c>
      <c r="E226" s="149">
        <f t="shared" si="20"/>
        <v>0.3</v>
      </c>
      <c r="F226" s="149">
        <f t="shared" si="20"/>
        <v>0.3</v>
      </c>
      <c r="G226" s="149">
        <f t="shared" si="20"/>
        <v>0.3</v>
      </c>
      <c r="H226" s="149">
        <f t="shared" si="20"/>
        <v>0.3</v>
      </c>
      <c r="I226" s="149">
        <f t="shared" si="20"/>
        <v>0.3</v>
      </c>
      <c r="J226" s="149">
        <f t="shared" si="20"/>
        <v>0.3</v>
      </c>
      <c r="K226" s="149">
        <f t="shared" si="20"/>
        <v>0.3</v>
      </c>
      <c r="L226" s="149">
        <f t="shared" si="20"/>
        <v>0.3</v>
      </c>
      <c r="M226" s="149">
        <f t="shared" si="20"/>
        <v>0.3</v>
      </c>
      <c r="N226" s="149">
        <f t="shared" si="20"/>
        <v>0.3</v>
      </c>
      <c r="O226" s="149">
        <f t="shared" si="20"/>
        <v>0.3</v>
      </c>
      <c r="P226" s="149">
        <f t="shared" si="20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19"/>
        <v>0</v>
      </c>
      <c r="C227" s="136">
        <v>0.4</v>
      </c>
      <c r="D227" s="136">
        <f t="shared" si="20"/>
        <v>0.4</v>
      </c>
      <c r="E227" s="136">
        <f t="shared" si="20"/>
        <v>0.4</v>
      </c>
      <c r="F227" s="136">
        <f t="shared" si="20"/>
        <v>0.4</v>
      </c>
      <c r="G227" s="136">
        <f t="shared" si="20"/>
        <v>0.4</v>
      </c>
      <c r="H227" s="136">
        <f t="shared" si="20"/>
        <v>0.4</v>
      </c>
      <c r="I227" s="136">
        <f t="shared" si="20"/>
        <v>0.4</v>
      </c>
      <c r="J227" s="136">
        <f t="shared" si="20"/>
        <v>0.4</v>
      </c>
      <c r="K227" s="136">
        <f t="shared" si="20"/>
        <v>0.4</v>
      </c>
      <c r="L227" s="136">
        <f t="shared" si="20"/>
        <v>0.4</v>
      </c>
      <c r="M227" s="136">
        <f t="shared" si="20"/>
        <v>0.4</v>
      </c>
      <c r="N227" s="136">
        <f t="shared" si="20"/>
        <v>0.4</v>
      </c>
      <c r="O227" s="136">
        <f t="shared" si="20"/>
        <v>0.4</v>
      </c>
      <c r="P227" s="136">
        <f t="shared" si="20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19"/>
        <v>0</v>
      </c>
      <c r="C228" s="136">
        <v>1.5</v>
      </c>
      <c r="D228" s="136">
        <f t="shared" si="20"/>
        <v>1.5</v>
      </c>
      <c r="E228" s="136">
        <f t="shared" si="20"/>
        <v>1.5</v>
      </c>
      <c r="F228" s="136">
        <f t="shared" si="20"/>
        <v>1.5</v>
      </c>
      <c r="G228" s="136">
        <f t="shared" si="20"/>
        <v>1.5</v>
      </c>
      <c r="H228" s="136">
        <f t="shared" si="20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20"/>
        <v>1.5</v>
      </c>
      <c r="K228" s="136">
        <f t="shared" ca="1" si="20"/>
        <v>1.5</v>
      </c>
      <c r="L228" s="136">
        <f t="shared" ca="1" si="20"/>
        <v>1.5</v>
      </c>
      <c r="M228" s="136">
        <f t="shared" ca="1" si="20"/>
        <v>1.5</v>
      </c>
      <c r="N228" s="136">
        <f t="shared" ca="1" si="20"/>
        <v>1.5</v>
      </c>
      <c r="O228" s="136">
        <f t="shared" ca="1" si="20"/>
        <v>1.5</v>
      </c>
      <c r="P228" s="136">
        <f t="shared" ca="1" si="20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19"/>
        <v>0</v>
      </c>
      <c r="C229" s="136">
        <v>0.3</v>
      </c>
      <c r="D229" s="136">
        <f t="shared" si="20"/>
        <v>0.3</v>
      </c>
      <c r="E229" s="136">
        <f t="shared" si="20"/>
        <v>0.3</v>
      </c>
      <c r="F229" s="136">
        <f t="shared" si="20"/>
        <v>0.3</v>
      </c>
      <c r="G229" s="136">
        <f t="shared" si="20"/>
        <v>0.3</v>
      </c>
      <c r="H229" s="136">
        <f t="shared" si="20"/>
        <v>0.3</v>
      </c>
      <c r="I229" s="136">
        <f t="shared" si="20"/>
        <v>0.3</v>
      </c>
      <c r="J229" s="136">
        <f t="shared" si="20"/>
        <v>0.3</v>
      </c>
      <c r="K229" s="136">
        <f t="shared" si="20"/>
        <v>0.3</v>
      </c>
      <c r="L229" s="136">
        <f t="shared" si="20"/>
        <v>0.3</v>
      </c>
      <c r="M229" s="136">
        <f t="shared" si="20"/>
        <v>0.3</v>
      </c>
      <c r="N229" s="136">
        <f t="shared" si="20"/>
        <v>0.3</v>
      </c>
      <c r="O229" s="136">
        <f t="shared" si="20"/>
        <v>0.3</v>
      </c>
      <c r="P229" s="136">
        <f t="shared" si="20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19"/>
        <v>0</v>
      </c>
      <c r="C230" s="136">
        <v>0.4</v>
      </c>
      <c r="D230" s="136">
        <f t="shared" si="20"/>
        <v>0.4</v>
      </c>
      <c r="E230" s="136">
        <f t="shared" si="20"/>
        <v>0.4</v>
      </c>
      <c r="F230" s="136">
        <f t="shared" si="20"/>
        <v>0.4</v>
      </c>
      <c r="G230" s="136">
        <f t="shared" si="20"/>
        <v>0.4</v>
      </c>
      <c r="H230" s="136">
        <f t="shared" si="20"/>
        <v>0.4</v>
      </c>
      <c r="I230" s="136">
        <f t="shared" si="20"/>
        <v>0.4</v>
      </c>
      <c r="J230" s="136">
        <f t="shared" si="20"/>
        <v>0.4</v>
      </c>
      <c r="K230" s="136">
        <f t="shared" si="20"/>
        <v>0.4</v>
      </c>
      <c r="L230" s="136">
        <f t="shared" si="20"/>
        <v>0.4</v>
      </c>
      <c r="M230" s="136">
        <f t="shared" si="20"/>
        <v>0.4</v>
      </c>
      <c r="N230" s="136">
        <f t="shared" si="20"/>
        <v>0.4</v>
      </c>
      <c r="O230" s="136">
        <f t="shared" si="20"/>
        <v>0.4</v>
      </c>
      <c r="P230" s="136">
        <f t="shared" si="20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19"/>
        <v>0</v>
      </c>
      <c r="C231" s="140">
        <v>0.64</v>
      </c>
      <c r="D231" s="140">
        <f t="shared" si="20"/>
        <v>0.64</v>
      </c>
      <c r="E231" s="140">
        <f t="shared" si="20"/>
        <v>0.64</v>
      </c>
      <c r="F231" s="140">
        <f t="shared" si="20"/>
        <v>0.64</v>
      </c>
      <c r="G231" s="140">
        <f t="shared" si="20"/>
        <v>0.64</v>
      </c>
      <c r="H231" s="140">
        <f t="shared" si="20"/>
        <v>0.64</v>
      </c>
      <c r="I231" s="140">
        <f t="shared" si="20"/>
        <v>0.64</v>
      </c>
      <c r="J231" s="140">
        <f t="shared" si="20"/>
        <v>0.64</v>
      </c>
      <c r="K231" s="140">
        <f t="shared" si="20"/>
        <v>0.64</v>
      </c>
      <c r="L231" s="140">
        <f t="shared" si="20"/>
        <v>0.64</v>
      </c>
      <c r="M231" s="140">
        <f t="shared" si="20"/>
        <v>0.64</v>
      </c>
      <c r="N231" s="140">
        <f t="shared" si="20"/>
        <v>0.64</v>
      </c>
      <c r="O231" s="140">
        <f t="shared" si="20"/>
        <v>0.64</v>
      </c>
      <c r="P231" s="140">
        <f t="shared" si="20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21">SUM(B226:B231)</f>
        <v>0</v>
      </c>
      <c r="C232" s="144">
        <f t="shared" si="21"/>
        <v>3.54</v>
      </c>
      <c r="D232" s="144">
        <f t="shared" si="21"/>
        <v>3.54</v>
      </c>
      <c r="E232" s="144">
        <f t="shared" si="21"/>
        <v>3.54</v>
      </c>
      <c r="F232" s="144">
        <f t="shared" si="21"/>
        <v>3.54</v>
      </c>
      <c r="G232" s="144">
        <f t="shared" si="21"/>
        <v>3.54</v>
      </c>
      <c r="H232" s="144">
        <f t="shared" si="21"/>
        <v>3.54</v>
      </c>
      <c r="I232" s="144">
        <f t="shared" ca="1" si="21"/>
        <v>3.54</v>
      </c>
      <c r="J232" s="144">
        <f t="shared" ca="1" si="21"/>
        <v>3.54</v>
      </c>
      <c r="K232" s="144">
        <f t="shared" ca="1" si="21"/>
        <v>3.54</v>
      </c>
      <c r="L232" s="144">
        <f t="shared" ca="1" si="21"/>
        <v>3.54</v>
      </c>
      <c r="M232" s="144">
        <f t="shared" ca="1" si="21"/>
        <v>3.54</v>
      </c>
      <c r="N232" s="144">
        <f t="shared" ca="1" si="21"/>
        <v>3.54</v>
      </c>
      <c r="O232" s="144">
        <f t="shared" ca="1" si="21"/>
        <v>3.54</v>
      </c>
      <c r="P232" s="144">
        <f t="shared" ca="1" si="21"/>
        <v>3.54</v>
      </c>
      <c r="Q232" s="144">
        <f t="shared" si="21"/>
        <v>0</v>
      </c>
      <c r="R232" s="144">
        <f t="shared" si="21"/>
        <v>0</v>
      </c>
      <c r="S232" s="144">
        <f t="shared" si="21"/>
        <v>0</v>
      </c>
      <c r="T232" s="144">
        <f t="shared" si="21"/>
        <v>0</v>
      </c>
      <c r="U232" s="144">
        <f t="shared" si="21"/>
        <v>0</v>
      </c>
      <c r="V232" s="144">
        <f t="shared" si="21"/>
        <v>0</v>
      </c>
      <c r="W232" s="144">
        <f t="shared" si="21"/>
        <v>0</v>
      </c>
      <c r="X232" s="144">
        <f t="shared" si="21"/>
        <v>0</v>
      </c>
      <c r="Y232" s="144">
        <f t="shared" si="21"/>
        <v>0</v>
      </c>
      <c r="Z232" s="144">
        <f t="shared" si="21"/>
        <v>0</v>
      </c>
      <c r="AA232" s="144">
        <f t="shared" si="21"/>
        <v>0</v>
      </c>
      <c r="AB232" s="144">
        <f t="shared" si="21"/>
        <v>0</v>
      </c>
      <c r="AC232" s="144">
        <f t="shared" si="21"/>
        <v>0</v>
      </c>
      <c r="AD232" s="144">
        <f t="shared" si="21"/>
        <v>0</v>
      </c>
      <c r="AE232" s="144">
        <f t="shared" si="21"/>
        <v>0</v>
      </c>
      <c r="AF232" s="144">
        <f t="shared" si="21"/>
        <v>0</v>
      </c>
      <c r="AG232" s="154">
        <f t="shared" si="21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1275.4000000000001</v>
      </c>
      <c r="C241" s="170">
        <f>INDEX(G9:N9,1,MATCH(MAX(G89:N89),G89:N89,0))</f>
        <v>0.33333333333333331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2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2079/12/2)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2079/12/2)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22">B89</f>
        <v>1287.1399999999999</v>
      </c>
      <c r="U246" s="180">
        <f t="shared" si="22"/>
        <v>1125.24</v>
      </c>
      <c r="V246" s="180">
        <f t="shared" si="22"/>
        <v>1124.24</v>
      </c>
      <c r="W246" s="180">
        <f t="shared" si="22"/>
        <v>1113.8399999999999</v>
      </c>
      <c r="X246" s="180">
        <f t="shared" si="22"/>
        <v>1099.74</v>
      </c>
      <c r="Y246" s="180">
        <f t="shared" si="22"/>
        <v>1071.8400000000001</v>
      </c>
      <c r="Z246" s="180">
        <f t="shared" si="22"/>
        <v>1098.74</v>
      </c>
      <c r="AA246" s="180">
        <f t="shared" si="22"/>
        <v>1085.9399999999998</v>
      </c>
      <c r="AB246" s="180">
        <f t="shared" si="22"/>
        <v>1166.1399999999999</v>
      </c>
      <c r="AC246" s="180">
        <f t="shared" si="22"/>
        <v>1219.7399999999998</v>
      </c>
      <c r="AD246" s="180">
        <f t="shared" si="22"/>
        <v>1212.04</v>
      </c>
      <c r="AE246" s="180">
        <f t="shared" si="22"/>
        <v>1275.4000000000001</v>
      </c>
      <c r="AF246" s="180">
        <f t="shared" si="22"/>
        <v>1238.8399999999999</v>
      </c>
      <c r="AG246" s="180">
        <f t="shared" si="22"/>
        <v>1271.3399999999999</v>
      </c>
      <c r="AH246" s="180">
        <f t="shared" si="22"/>
        <v>1308.94</v>
      </c>
      <c r="AI246" s="180">
        <f t="shared" si="22"/>
        <v>1301.74</v>
      </c>
      <c r="AJ246" s="180">
        <f t="shared" si="22"/>
        <v>1323.2399999999998</v>
      </c>
      <c r="AK246" s="180">
        <f t="shared" si="22"/>
        <v>1348.44</v>
      </c>
      <c r="AL246" s="180">
        <f t="shared" si="22"/>
        <v>1374.1399999999999</v>
      </c>
      <c r="AM246" s="180">
        <f t="shared" si="22"/>
        <v>1352.04</v>
      </c>
      <c r="AN246" s="180">
        <f t="shared" si="22"/>
        <v>1321.14</v>
      </c>
      <c r="AO246" s="180">
        <f t="shared" si="22"/>
        <v>1478.3400000000001</v>
      </c>
      <c r="AP246" s="180">
        <f t="shared" si="22"/>
        <v>1463.24</v>
      </c>
      <c r="AQ246" s="180">
        <f t="shared" si="22"/>
        <v>1554.1399999999999</v>
      </c>
      <c r="AR246" s="180">
        <f t="shared" si="22"/>
        <v>1700.1399999999999</v>
      </c>
      <c r="AS246" s="180">
        <f t="shared" si="22"/>
        <v>1687.1399999999999</v>
      </c>
      <c r="AT246" s="180">
        <f t="shared" si="22"/>
        <v>1620.1399999999999</v>
      </c>
      <c r="AU246" s="180">
        <f t="shared" si="22"/>
        <v>1591.6399999999999</v>
      </c>
      <c r="AV246" s="180">
        <f t="shared" si="22"/>
        <v>1539.84</v>
      </c>
      <c r="AW246" s="180">
        <f t="shared" si="22"/>
        <v>1424.1399999999999</v>
      </c>
      <c r="AX246" s="180">
        <f t="shared" si="22"/>
        <v>1224.1399999999999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23">C231</f>
        <v>0.64</v>
      </c>
      <c r="C267" s="183">
        <f t="shared" si="23"/>
        <v>0.64</v>
      </c>
      <c r="D267" s="183">
        <f t="shared" si="23"/>
        <v>0.64</v>
      </c>
      <c r="E267" s="183">
        <f t="shared" si="23"/>
        <v>0.64</v>
      </c>
      <c r="F267" s="183">
        <f t="shared" si="23"/>
        <v>0.64</v>
      </c>
      <c r="G267" s="183">
        <f t="shared" si="23"/>
        <v>0.64</v>
      </c>
      <c r="H267" s="183">
        <f t="shared" si="23"/>
        <v>0.64</v>
      </c>
      <c r="I267" s="183">
        <f t="shared" si="23"/>
        <v>0.64</v>
      </c>
      <c r="J267" s="183">
        <f t="shared" si="23"/>
        <v>0.64</v>
      </c>
      <c r="K267" s="183">
        <f t="shared" si="23"/>
        <v>0.64</v>
      </c>
      <c r="L267" s="183">
        <f t="shared" si="23"/>
        <v>0.64</v>
      </c>
      <c r="M267" s="183">
        <f t="shared" si="23"/>
        <v>0.64</v>
      </c>
      <c r="N267" s="183">
        <f t="shared" si="23"/>
        <v>0.64</v>
      </c>
      <c r="O267" s="183">
        <f t="shared" si="23"/>
        <v>0.64</v>
      </c>
      <c r="P267" s="183">
        <f t="shared" si="23"/>
        <v>0</v>
      </c>
      <c r="Q267" s="183">
        <f t="shared" si="23"/>
        <v>0</v>
      </c>
      <c r="R267" s="183">
        <f t="shared" si="23"/>
        <v>0</v>
      </c>
      <c r="S267" s="183">
        <f t="shared" si="23"/>
        <v>0</v>
      </c>
      <c r="T267" s="183">
        <f t="shared" si="23"/>
        <v>0</v>
      </c>
      <c r="U267" s="183">
        <f t="shared" si="23"/>
        <v>0</v>
      </c>
      <c r="V267" s="183">
        <f t="shared" si="23"/>
        <v>0</v>
      </c>
      <c r="W267" s="183">
        <f t="shared" si="23"/>
        <v>0</v>
      </c>
      <c r="X267" s="183">
        <f t="shared" si="23"/>
        <v>0</v>
      </c>
      <c r="Y267" s="183">
        <f t="shared" si="23"/>
        <v>0</v>
      </c>
      <c r="Z267" s="183">
        <f t="shared" si="23"/>
        <v>0</v>
      </c>
      <c r="AA267" s="183">
        <f t="shared" si="23"/>
        <v>0</v>
      </c>
      <c r="AB267" s="183">
        <f t="shared" si="23"/>
        <v>0</v>
      </c>
      <c r="AC267" s="183">
        <f t="shared" si="23"/>
        <v>0</v>
      </c>
      <c r="AD267" s="183">
        <f t="shared" si="23"/>
        <v>0</v>
      </c>
      <c r="AE267" s="183">
        <f t="shared" si="23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24">IF(B235&lt;100,"",B235-520)</f>
        <v/>
      </c>
      <c r="C268" s="184" t="str">
        <f t="shared" si="24"/>
        <v/>
      </c>
      <c r="D268" s="184" t="str">
        <f t="shared" si="24"/>
        <v/>
      </c>
      <c r="E268" s="184" t="str">
        <f t="shared" si="24"/>
        <v/>
      </c>
      <c r="F268" s="184" t="str">
        <f t="shared" si="24"/>
        <v/>
      </c>
      <c r="G268" s="184" t="str">
        <f t="shared" si="24"/>
        <v/>
      </c>
      <c r="H268" s="184" t="str">
        <f t="shared" si="24"/>
        <v/>
      </c>
      <c r="I268" s="184" t="str">
        <f t="shared" si="24"/>
        <v/>
      </c>
      <c r="J268" s="184" t="str">
        <f t="shared" si="24"/>
        <v/>
      </c>
      <c r="K268" s="184" t="str">
        <f t="shared" si="24"/>
        <v/>
      </c>
      <c r="L268" s="184" t="str">
        <f t="shared" si="24"/>
        <v/>
      </c>
      <c r="M268" s="184" t="str">
        <f t="shared" si="24"/>
        <v/>
      </c>
      <c r="N268" s="184" t="str">
        <f t="shared" si="24"/>
        <v/>
      </c>
      <c r="O268" s="184" t="str">
        <f t="shared" si="24"/>
        <v/>
      </c>
      <c r="P268" s="184" t="str">
        <f t="shared" si="24"/>
        <v/>
      </c>
      <c r="Q268" s="184" t="str">
        <f t="shared" si="24"/>
        <v/>
      </c>
      <c r="R268" s="184" t="str">
        <f t="shared" si="24"/>
        <v/>
      </c>
      <c r="S268" s="184" t="str">
        <f t="shared" si="24"/>
        <v/>
      </c>
      <c r="T268" s="184" t="str">
        <f t="shared" si="24"/>
        <v/>
      </c>
      <c r="U268" s="184" t="str">
        <f t="shared" si="24"/>
        <v/>
      </c>
      <c r="V268" s="184" t="str">
        <f t="shared" si="24"/>
        <v/>
      </c>
      <c r="W268" s="184" t="str">
        <f t="shared" si="24"/>
        <v/>
      </c>
      <c r="X268" s="184" t="str">
        <f t="shared" si="24"/>
        <v/>
      </c>
      <c r="Y268" s="184" t="str">
        <f t="shared" si="24"/>
        <v/>
      </c>
      <c r="Z268" s="184" t="str">
        <f t="shared" si="24"/>
        <v/>
      </c>
      <c r="AA268" s="184" t="str">
        <f t="shared" si="24"/>
        <v/>
      </c>
      <c r="AB268" s="184" t="str">
        <f t="shared" si="24"/>
        <v/>
      </c>
      <c r="AC268" s="184" t="str">
        <f t="shared" si="24"/>
        <v/>
      </c>
      <c r="AD268" s="184" t="str">
        <f t="shared" si="24"/>
        <v/>
      </c>
      <c r="AE268" s="184" t="str">
        <f t="shared" si="24"/>
        <v/>
      </c>
      <c r="AF268" s="184" t="str">
        <f t="shared" si="24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25">IF(B236&lt;100,"",B236-620)</f>
        <v/>
      </c>
      <c r="C269" s="184" t="str">
        <f t="shared" si="25"/>
        <v/>
      </c>
      <c r="D269" s="184" t="str">
        <f t="shared" si="25"/>
        <v/>
      </c>
      <c r="E269" s="184" t="str">
        <f t="shared" si="25"/>
        <v/>
      </c>
      <c r="F269" s="184" t="str">
        <f t="shared" si="25"/>
        <v/>
      </c>
      <c r="G269" s="184" t="str">
        <f t="shared" si="25"/>
        <v/>
      </c>
      <c r="H269" s="184" t="str">
        <f t="shared" si="25"/>
        <v/>
      </c>
      <c r="I269" s="184" t="str">
        <f t="shared" si="25"/>
        <v/>
      </c>
      <c r="J269" s="184" t="str">
        <f t="shared" si="25"/>
        <v/>
      </c>
      <c r="K269" s="184" t="str">
        <f t="shared" si="25"/>
        <v/>
      </c>
      <c r="L269" s="184" t="str">
        <f t="shared" si="25"/>
        <v/>
      </c>
      <c r="M269" s="184" t="str">
        <f t="shared" si="25"/>
        <v/>
      </c>
      <c r="N269" s="184" t="str">
        <f t="shared" si="25"/>
        <v/>
      </c>
      <c r="O269" s="184" t="str">
        <f t="shared" si="25"/>
        <v/>
      </c>
      <c r="P269" s="184" t="str">
        <f t="shared" si="25"/>
        <v/>
      </c>
      <c r="Q269" s="184" t="str">
        <f t="shared" si="25"/>
        <v/>
      </c>
      <c r="R269" s="184" t="str">
        <f t="shared" si="25"/>
        <v/>
      </c>
      <c r="S269" s="184" t="str">
        <f t="shared" si="25"/>
        <v/>
      </c>
      <c r="T269" s="184" t="str">
        <f t="shared" si="25"/>
        <v/>
      </c>
      <c r="U269" s="184" t="str">
        <f t="shared" si="25"/>
        <v/>
      </c>
      <c r="V269" s="184" t="str">
        <f t="shared" si="25"/>
        <v/>
      </c>
      <c r="W269" s="184" t="str">
        <f t="shared" si="25"/>
        <v/>
      </c>
      <c r="X269" s="184" t="str">
        <f t="shared" si="25"/>
        <v/>
      </c>
      <c r="Y269" s="184" t="str">
        <f t="shared" si="25"/>
        <v/>
      </c>
      <c r="Z269" s="184" t="str">
        <f t="shared" si="25"/>
        <v/>
      </c>
      <c r="AA269" s="184" t="str">
        <f t="shared" si="25"/>
        <v/>
      </c>
      <c r="AB269" s="184" t="str">
        <f t="shared" si="25"/>
        <v/>
      </c>
      <c r="AC269" s="184" t="str">
        <f t="shared" si="25"/>
        <v/>
      </c>
      <c r="AD269" s="184" t="str">
        <f t="shared" si="25"/>
        <v/>
      </c>
      <c r="AE269" s="184" t="str">
        <f t="shared" si="25"/>
        <v/>
      </c>
      <c r="AF269" s="184" t="str">
        <f t="shared" si="25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26">IF(B237&lt;100,"",B237-330)</f>
        <v/>
      </c>
      <c r="C270" s="184" t="str">
        <f t="shared" si="26"/>
        <v/>
      </c>
      <c r="D270" s="184" t="str">
        <f t="shared" si="26"/>
        <v/>
      </c>
      <c r="E270" s="184" t="str">
        <f t="shared" si="26"/>
        <v/>
      </c>
      <c r="F270" s="184" t="str">
        <f t="shared" si="26"/>
        <v/>
      </c>
      <c r="G270" s="184" t="str">
        <f t="shared" si="26"/>
        <v/>
      </c>
      <c r="H270" s="184" t="str">
        <f t="shared" si="26"/>
        <v/>
      </c>
      <c r="I270" s="184" t="str">
        <f t="shared" si="26"/>
        <v/>
      </c>
      <c r="J270" s="184" t="str">
        <f t="shared" si="26"/>
        <v/>
      </c>
      <c r="K270" s="184" t="str">
        <f t="shared" si="26"/>
        <v/>
      </c>
      <c r="L270" s="184" t="str">
        <f t="shared" si="26"/>
        <v/>
      </c>
      <c r="M270" s="184" t="str">
        <f t="shared" si="26"/>
        <v/>
      </c>
      <c r="N270" s="184" t="str">
        <f t="shared" si="26"/>
        <v/>
      </c>
      <c r="O270" s="184" t="str">
        <f t="shared" si="26"/>
        <v/>
      </c>
      <c r="P270" s="184" t="str">
        <f t="shared" si="26"/>
        <v/>
      </c>
      <c r="Q270" s="184" t="str">
        <f t="shared" si="26"/>
        <v/>
      </c>
      <c r="R270" s="184" t="str">
        <f t="shared" si="26"/>
        <v/>
      </c>
      <c r="S270" s="184" t="str">
        <f t="shared" si="26"/>
        <v/>
      </c>
      <c r="T270" s="184" t="str">
        <f t="shared" si="26"/>
        <v/>
      </c>
      <c r="U270" s="184" t="str">
        <f t="shared" si="26"/>
        <v/>
      </c>
      <c r="V270" s="184" t="str">
        <f t="shared" si="26"/>
        <v/>
      </c>
      <c r="W270" s="184" t="str">
        <f t="shared" si="26"/>
        <v/>
      </c>
      <c r="X270" s="184" t="str">
        <f t="shared" si="26"/>
        <v/>
      </c>
      <c r="Y270" s="184" t="str">
        <f t="shared" si="26"/>
        <v/>
      </c>
      <c r="Z270" s="184" t="str">
        <f t="shared" si="26"/>
        <v/>
      </c>
      <c r="AA270" s="184" t="str">
        <f t="shared" si="26"/>
        <v/>
      </c>
      <c r="AB270" s="184" t="str">
        <f t="shared" si="26"/>
        <v/>
      </c>
      <c r="AC270" s="184" t="str">
        <f t="shared" si="26"/>
        <v/>
      </c>
      <c r="AD270" s="184" t="str">
        <f t="shared" si="26"/>
        <v/>
      </c>
      <c r="AE270" s="184" t="str">
        <f t="shared" si="26"/>
        <v/>
      </c>
      <c r="AF270" s="184" t="str">
        <f t="shared" si="26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27">IF(B238&lt;100,"",B238-1500)</f>
        <v/>
      </c>
      <c r="C271" s="184" t="str">
        <f t="shared" si="27"/>
        <v/>
      </c>
      <c r="D271" s="184" t="str">
        <f t="shared" si="27"/>
        <v/>
      </c>
      <c r="E271" s="184" t="str">
        <f t="shared" si="27"/>
        <v/>
      </c>
      <c r="F271" s="184" t="str">
        <f t="shared" si="27"/>
        <v/>
      </c>
      <c r="G271" s="184" t="str">
        <f t="shared" si="27"/>
        <v/>
      </c>
      <c r="H271" s="184" t="str">
        <f t="shared" si="27"/>
        <v/>
      </c>
      <c r="I271" s="184" t="str">
        <f t="shared" si="27"/>
        <v/>
      </c>
      <c r="J271" s="184" t="str">
        <f t="shared" si="27"/>
        <v/>
      </c>
      <c r="K271" s="184" t="str">
        <f t="shared" si="27"/>
        <v/>
      </c>
      <c r="L271" s="184" t="str">
        <f t="shared" si="27"/>
        <v/>
      </c>
      <c r="M271" s="184" t="str">
        <f t="shared" si="27"/>
        <v/>
      </c>
      <c r="N271" s="184" t="str">
        <f t="shared" si="27"/>
        <v/>
      </c>
      <c r="O271" s="184" t="str">
        <f t="shared" si="27"/>
        <v/>
      </c>
      <c r="P271" s="184" t="str">
        <f t="shared" si="27"/>
        <v/>
      </c>
      <c r="Q271" s="184" t="str">
        <f t="shared" si="27"/>
        <v/>
      </c>
      <c r="R271" s="184" t="str">
        <f t="shared" si="27"/>
        <v/>
      </c>
      <c r="S271" s="184" t="str">
        <f t="shared" si="27"/>
        <v/>
      </c>
      <c r="T271" s="184" t="str">
        <f t="shared" si="27"/>
        <v/>
      </c>
      <c r="U271" s="184" t="str">
        <f t="shared" si="27"/>
        <v/>
      </c>
      <c r="V271" s="184" t="str">
        <f t="shared" si="27"/>
        <v/>
      </c>
      <c r="W271" s="184" t="str">
        <f t="shared" si="27"/>
        <v/>
      </c>
      <c r="X271" s="184" t="str">
        <f t="shared" si="27"/>
        <v/>
      </c>
      <c r="Y271" s="184" t="str">
        <f t="shared" si="27"/>
        <v/>
      </c>
      <c r="Z271" s="184" t="str">
        <f t="shared" si="27"/>
        <v/>
      </c>
      <c r="AA271" s="184" t="str">
        <f t="shared" si="27"/>
        <v/>
      </c>
      <c r="AB271" s="184" t="str">
        <f t="shared" si="27"/>
        <v/>
      </c>
      <c r="AC271" s="184" t="str">
        <f t="shared" si="27"/>
        <v/>
      </c>
      <c r="AD271" s="184" t="str">
        <f t="shared" si="27"/>
        <v/>
      </c>
      <c r="AE271" s="184" t="str">
        <f t="shared" si="27"/>
        <v/>
      </c>
      <c r="AF271" s="184" t="str">
        <f t="shared" si="27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E111:AF116 E109:AF109">
    <cfRule type="expression" dxfId="9555" priority="339">
      <formula>B$9&gt;=20/24</formula>
    </cfRule>
    <cfRule type="expression" dxfId="9554" priority="340">
      <formula>AND(B$9&gt;=14/24,B$9&lt;20/24)</formula>
    </cfRule>
    <cfRule type="expression" dxfId="9553" priority="341">
      <formula>AND(B$9&gt;=8/24,B$9&lt;14/24)</formula>
    </cfRule>
    <cfRule type="expression" dxfId="9552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9551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9550" priority="336">
      <formula>$AH12=0</formula>
    </cfRule>
  </conditionalFormatting>
  <conditionalFormatting sqref="A114">
    <cfRule type="expression" dxfId="9549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9548" priority="333">
      <formula>$AH45=0</formula>
    </cfRule>
  </conditionalFormatting>
  <conditionalFormatting sqref="A98">
    <cfRule type="expression" dxfId="9547" priority="332">
      <formula>$AH98=0</formula>
    </cfRule>
  </conditionalFormatting>
  <conditionalFormatting sqref="A18">
    <cfRule type="expression" dxfId="9546" priority="331">
      <formula>$AH18=0</formula>
    </cfRule>
  </conditionalFormatting>
  <conditionalFormatting sqref="A196:A201">
    <cfRule type="expression" dxfId="9545" priority="330">
      <formula>$AH196=0</formula>
    </cfRule>
  </conditionalFormatting>
  <conditionalFormatting sqref="A190:A195">
    <cfRule type="expression" dxfId="9544" priority="329">
      <formula>$AH190=0</formula>
    </cfRule>
  </conditionalFormatting>
  <conditionalFormatting sqref="A58">
    <cfRule type="expression" dxfId="9543" priority="328">
      <formula>$AH58=0</formula>
    </cfRule>
  </conditionalFormatting>
  <conditionalFormatting sqref="A94">
    <cfRule type="expression" dxfId="9542" priority="327">
      <formula>$AH94=0</formula>
    </cfRule>
  </conditionalFormatting>
  <conditionalFormatting sqref="E99:X99 AD99:AF99">
    <cfRule type="expression" dxfId="9541" priority="323">
      <formula>E$9&gt;=20/24</formula>
    </cfRule>
    <cfRule type="expression" dxfId="9540" priority="324">
      <formula>AND(E$9&gt;=14/24,E$9&lt;20/24)</formula>
    </cfRule>
    <cfRule type="expression" dxfId="9539" priority="325">
      <formula>AND(E$9&gt;=8/24,E$9&lt;14/24)</formula>
    </cfRule>
    <cfRule type="expression" dxfId="9538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9537" priority="345">
      <formula>C$9&gt;=20/24</formula>
    </cfRule>
    <cfRule type="expression" dxfId="9536" priority="346">
      <formula>AND(C$9&gt;=14/24,C$9&lt;20/24)</formula>
    </cfRule>
    <cfRule type="expression" dxfId="9535" priority="347">
      <formula>AND(C$9&gt;=8/24,C$9&lt;14/24)</formula>
    </cfRule>
    <cfRule type="expression" dxfId="9534" priority="348">
      <formula>C$9&lt;8/24</formula>
    </cfRule>
  </conditionalFormatting>
  <conditionalFormatting sqref="A233">
    <cfRule type="expression" dxfId="9533" priority="349">
      <formula>$AH233=0</formula>
    </cfRule>
  </conditionalFormatting>
  <conditionalFormatting sqref="AG245">
    <cfRule type="expression" dxfId="9532" priority="350">
      <formula>B$9&gt;=20/24</formula>
    </cfRule>
    <cfRule type="expression" dxfId="9531" priority="351">
      <formula>AND(B$9&gt;=14/24,B$9&lt;20/24)</formula>
    </cfRule>
    <cfRule type="expression" dxfId="9530" priority="352">
      <formula>AND(B$9&gt;=8/24,B$9&lt;14/24)</formula>
    </cfRule>
    <cfRule type="expression" dxfId="9529" priority="353">
      <formula>B$9&lt;8/24</formula>
    </cfRule>
  </conditionalFormatting>
  <conditionalFormatting sqref="S8">
    <cfRule type="expression" dxfId="9528" priority="318">
      <formula>U$9&gt;=20/24</formula>
    </cfRule>
    <cfRule type="expression" dxfId="9527" priority="319">
      <formula>AND(U$9&gt;=14/24,U$9&lt;20/24)</formula>
    </cfRule>
    <cfRule type="expression" dxfId="9526" priority="320">
      <formula>AND(U$9&gt;=8/24,U$9&lt;14/24)</formula>
    </cfRule>
    <cfRule type="expression" dxfId="9525" priority="321">
      <formula>U$9&lt;8/24</formula>
    </cfRule>
  </conditionalFormatting>
  <conditionalFormatting sqref="AB8">
    <cfRule type="expression" dxfId="9524" priority="314">
      <formula>AD$9&gt;=20/24</formula>
    </cfRule>
    <cfRule type="expression" dxfId="9523" priority="315">
      <formula>AND(AD$9&gt;=14/24,AD$9&lt;20/24)</formula>
    </cfRule>
    <cfRule type="expression" dxfId="9522" priority="316">
      <formula>AND(AD$9&gt;=8/24,AD$9&lt;14/24)</formula>
    </cfRule>
    <cfRule type="expression" dxfId="9521" priority="317">
      <formula>AD$9&lt;8/24</formula>
    </cfRule>
  </conditionalFormatting>
  <conditionalFormatting sqref="AH245:AX245">
    <cfRule type="expression" dxfId="9520" priority="354">
      <formula>AG$9&gt;=20/24</formula>
    </cfRule>
    <cfRule type="expression" dxfId="9519" priority="355">
      <formula>AND(AG$9&gt;=14/24,AG$9&lt;20/24)</formula>
    </cfRule>
    <cfRule type="expression" dxfId="9518" priority="356">
      <formula>AND(AG$9&gt;=8/24,AG$9&lt;14/24)</formula>
    </cfRule>
    <cfRule type="expression" dxfId="9517" priority="357">
      <formula>AG$9&lt;8/24</formula>
    </cfRule>
  </conditionalFormatting>
  <conditionalFormatting sqref="T245">
    <cfRule type="expression" dxfId="9516" priority="358">
      <formula>AX$9&gt;=20/24</formula>
    </cfRule>
    <cfRule type="expression" dxfId="9515" priority="359">
      <formula>AND(AX$9&gt;=14/24,AX$9&lt;20/24)</formula>
    </cfRule>
    <cfRule type="expression" dxfId="9514" priority="360">
      <formula>AND(AX$9&gt;=8/24,AX$9&lt;14/24)</formula>
    </cfRule>
    <cfRule type="expression" dxfId="9513" priority="361">
      <formula>AX$9&lt;8/24</formula>
    </cfRule>
  </conditionalFormatting>
  <conditionalFormatting sqref="A115:A116">
    <cfRule type="expression" dxfId="9512" priority="313">
      <formula>$AH115=0</formula>
    </cfRule>
  </conditionalFormatting>
  <conditionalFormatting sqref="P54:Q56 M54:O57 Q57:Q58 P57 R58:V58 R54:Y54 R56:Y56 AB54:AF57 E71:AF71">
    <cfRule type="expression" dxfId="9511" priority="309">
      <formula>E$9&gt;=20/24</formula>
    </cfRule>
    <cfRule type="expression" dxfId="9510" priority="310">
      <formula>AND(E$9&gt;=14/24,E$9&lt;20/24)</formula>
    </cfRule>
    <cfRule type="expression" dxfId="9509" priority="311">
      <formula>AND(E$9&gt;=8/24,E$9&lt;14/24)</formula>
    </cfRule>
    <cfRule type="expression" dxfId="9508" priority="312">
      <formula>E$9&lt;8/24</formula>
    </cfRule>
  </conditionalFormatting>
  <conditionalFormatting sqref="M53:Q53 AB53:AF53">
    <cfRule type="expression" dxfId="9507" priority="305">
      <formula>M$9&gt;=20/24</formula>
    </cfRule>
    <cfRule type="expression" dxfId="9506" priority="306">
      <formula>AND(M$9&gt;=14/24,M$9&lt;20/24)</formula>
    </cfRule>
    <cfRule type="expression" dxfId="9505" priority="307">
      <formula>AND(M$9&gt;=8/24,M$9&lt;14/24)</formula>
    </cfRule>
    <cfRule type="expression" dxfId="9504" priority="308">
      <formula>M$9&lt;8/24</formula>
    </cfRule>
  </conditionalFormatting>
  <conditionalFormatting sqref="P53:Q56 M53:O57 Q57:Q58 P57 R58:V58 R54:Y54 R56:Y56 AB53:AF57">
    <cfRule type="expression" dxfId="9503" priority="304">
      <formula>M53&gt;$AG53</formula>
    </cfRule>
  </conditionalFormatting>
  <conditionalFormatting sqref="D86:AF86 X96:AF96 M100:X106 E72:Y73 X47:AF47 Z67:AF69 Z72:AF74 AD100:AF106">
    <cfRule type="expression" dxfId="9502" priority="300">
      <formula>D$9&gt;=20/24</formula>
    </cfRule>
    <cfRule type="expression" dxfId="9501" priority="301">
      <formula>AND(D$9&gt;=14/24,D$9&lt;20/24)</formula>
    </cfRule>
    <cfRule type="expression" dxfId="9500" priority="302">
      <formula>AND(D$9&gt;=8/24,D$9&lt;14/24)</formula>
    </cfRule>
    <cfRule type="expression" dxfId="9499" priority="303">
      <formula>D$9&lt;8/24</formula>
    </cfRule>
  </conditionalFormatting>
  <conditionalFormatting sqref="X47:AF47 Z67:AF69">
    <cfRule type="expression" dxfId="9498" priority="299">
      <formula>X47&gt;$AG47</formula>
    </cfRule>
  </conditionalFormatting>
  <conditionalFormatting sqref="W58 R57:W57 R53:Y53 R55:Y55 X57:Y58 Z53:AA58">
    <cfRule type="expression" dxfId="9497" priority="295">
      <formula>R$9&gt;=20/24</formula>
    </cfRule>
    <cfRule type="expression" dxfId="9496" priority="296">
      <formula>AND(R$9&gt;=14/24,R$9&lt;20/24)</formula>
    </cfRule>
    <cfRule type="expression" dxfId="9495" priority="297">
      <formula>AND(R$9&gt;=8/24,R$9&lt;14/24)</formula>
    </cfRule>
    <cfRule type="expression" dxfId="9494" priority="298">
      <formula>R$9&lt;8/24</formula>
    </cfRule>
  </conditionalFormatting>
  <conditionalFormatting sqref="W58 R57:W57 R53:Y53 R55:Y55 X57:Y58 Z53:AA58">
    <cfRule type="expression" dxfId="9493" priority="294">
      <formula>R53&gt;$AG53</formula>
    </cfRule>
  </conditionalFormatting>
  <conditionalFormatting sqref="C97:AF97 D88:AF88">
    <cfRule type="expression" dxfId="9492" priority="290">
      <formula>C$9&gt;=20/24</formula>
    </cfRule>
    <cfRule type="expression" dxfId="9491" priority="291">
      <formula>AND(C$9&gt;=14/24,C$9&lt;20/24)</formula>
    </cfRule>
    <cfRule type="expression" dxfId="9490" priority="292">
      <formula>AND(C$9&gt;=8/24,C$9&lt;14/24)</formula>
    </cfRule>
    <cfRule type="expression" dxfId="9489" priority="293">
      <formula>C$9&lt;8/24</formula>
    </cfRule>
  </conditionalFormatting>
  <conditionalFormatting sqref="T47:W47">
    <cfRule type="expression" dxfId="9488" priority="286">
      <formula>T$9&gt;=20/24</formula>
    </cfRule>
    <cfRule type="expression" dxfId="9487" priority="287">
      <formula>AND(T$9&gt;=14/24,T$9&lt;20/24)</formula>
    </cfRule>
    <cfRule type="expression" dxfId="9486" priority="288">
      <formula>AND(T$9&gt;=8/24,T$9&lt;14/24)</formula>
    </cfRule>
    <cfRule type="expression" dxfId="9485" priority="289">
      <formula>T$9&lt;8/24</formula>
    </cfRule>
  </conditionalFormatting>
  <conditionalFormatting sqref="T47:W47">
    <cfRule type="expression" dxfId="9484" priority="285">
      <formula>T47&gt;$AG47</formula>
    </cfRule>
  </conditionalFormatting>
  <conditionalFormatting sqref="F54:L55">
    <cfRule type="expression" dxfId="9483" priority="281">
      <formula>F$9&gt;=20/24</formula>
    </cfRule>
    <cfRule type="expression" dxfId="9482" priority="282">
      <formula>AND(F$9&gt;=14/24,F$9&lt;20/24)</formula>
    </cfRule>
    <cfRule type="expression" dxfId="9481" priority="283">
      <formula>AND(F$9&gt;=8/24,F$9&lt;14/24)</formula>
    </cfRule>
    <cfRule type="expression" dxfId="9480" priority="284">
      <formula>F$9&lt;8/24</formula>
    </cfRule>
  </conditionalFormatting>
  <conditionalFormatting sqref="F53:L53">
    <cfRule type="expression" dxfId="9479" priority="277">
      <formula>F$9&gt;=20/24</formula>
    </cfRule>
    <cfRule type="expression" dxfId="9478" priority="278">
      <formula>AND(F$9&gt;=14/24,F$9&lt;20/24)</formula>
    </cfRule>
    <cfRule type="expression" dxfId="9477" priority="279">
      <formula>AND(F$9&gt;=8/24,F$9&lt;14/24)</formula>
    </cfRule>
    <cfRule type="expression" dxfId="9476" priority="280">
      <formula>F$9&lt;8/24</formula>
    </cfRule>
  </conditionalFormatting>
  <conditionalFormatting sqref="F53:L55">
    <cfRule type="expression" dxfId="9475" priority="276">
      <formula>F53&gt;$AG53</formula>
    </cfRule>
  </conditionalFormatting>
  <conditionalFormatting sqref="AG70 AG87 E100:L106 S67:Y69">
    <cfRule type="expression" dxfId="9474" priority="272">
      <formula>E$9&gt;=20/24</formula>
    </cfRule>
    <cfRule type="expression" dxfId="9473" priority="273">
      <formula>AND(E$9&gt;=14/24,E$9&lt;20/24)</formula>
    </cfRule>
    <cfRule type="expression" dxfId="9472" priority="274">
      <formula>AND(E$9&gt;=8/24,E$9&lt;14/24)</formula>
    </cfRule>
    <cfRule type="expression" dxfId="9471" priority="275">
      <formula>E$9&lt;8/24</formula>
    </cfRule>
  </conditionalFormatting>
  <conditionalFormatting sqref="AG48 AG66 AG70 S67:Y69">
    <cfRule type="expression" dxfId="9470" priority="271">
      <formula>S48&gt;$AG48</formula>
    </cfRule>
  </conditionalFormatting>
  <conditionalFormatting sqref="AB58:AF58">
    <cfRule type="expression" dxfId="9469" priority="267">
      <formula>AB$9&gt;=20/24</formula>
    </cfRule>
    <cfRule type="expression" dxfId="9468" priority="268">
      <formula>AND(AB$9&gt;=14/24,AB$9&lt;20/24)</formula>
    </cfRule>
    <cfRule type="expression" dxfId="9467" priority="269">
      <formula>AND(AB$9&gt;=8/24,AB$9&lt;14/24)</formula>
    </cfRule>
    <cfRule type="expression" dxfId="9466" priority="270">
      <formula>AB$9&lt;8/24</formula>
    </cfRule>
  </conditionalFormatting>
  <conditionalFormatting sqref="AB58:AF58">
    <cfRule type="expression" dxfId="9465" priority="266">
      <formula>AB58&gt;$AG58</formula>
    </cfRule>
  </conditionalFormatting>
  <conditionalFormatting sqref="A43">
    <cfRule type="expression" dxfId="9464" priority="265">
      <formula>$AH43=0</formula>
    </cfRule>
  </conditionalFormatting>
  <conditionalFormatting sqref="X91:AF95">
    <cfRule type="expression" dxfId="9463" priority="261">
      <formula>X$9&gt;=20/24</formula>
    </cfRule>
    <cfRule type="expression" dxfId="9462" priority="262">
      <formula>AND(X$9&gt;=14/24,X$9&lt;20/24)</formula>
    </cfRule>
    <cfRule type="expression" dxfId="9461" priority="263">
      <formula>AND(X$9&gt;=8/24,X$9&lt;14/24)</formula>
    </cfRule>
    <cfRule type="expression" dxfId="9460" priority="264">
      <formula>X$9&lt;8/24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9459" priority="257">
      <formula>E$9&gt;=20/24</formula>
    </cfRule>
    <cfRule type="expression" dxfId="9458" priority="258">
      <formula>AND(E$9&gt;=14/24,E$9&lt;20/24)</formula>
    </cfRule>
    <cfRule type="expression" dxfId="9457" priority="259">
      <formula>AND(E$9&gt;=8/24,E$9&lt;14/24)</formula>
    </cfRule>
    <cfRule type="expression" dxfId="9456" priority="260">
      <formula>E$9&lt;8/24</formula>
    </cfRule>
  </conditionalFormatting>
  <conditionalFormatting sqref="E49:AF51">
    <cfRule type="expression" dxfId="9455" priority="256">
      <formula>E49&gt;$AG49</formula>
    </cfRule>
  </conditionalFormatting>
  <conditionalFormatting sqref="AG52">
    <cfRule type="expression" dxfId="9454" priority="252">
      <formula>AG$9&gt;=20/24</formula>
    </cfRule>
    <cfRule type="expression" dxfId="9453" priority="253">
      <formula>AND(AG$9&gt;=14/24,AG$9&lt;20/24)</formula>
    </cfRule>
    <cfRule type="expression" dxfId="9452" priority="254">
      <formula>AND(AG$9&gt;=8/24,AG$9&lt;14/24)</formula>
    </cfRule>
    <cfRule type="expression" dxfId="9451" priority="255">
      <formula>AG$9&lt;8/24</formula>
    </cfRule>
  </conditionalFormatting>
  <conditionalFormatting sqref="AG52">
    <cfRule type="expression" dxfId="9450" priority="251">
      <formula>AG52&gt;$AG52</formula>
    </cfRule>
  </conditionalFormatting>
  <conditionalFormatting sqref="E107:AF107">
    <cfRule type="expression" dxfId="9449" priority="247">
      <formula>E$9&gt;=20/24</formula>
    </cfRule>
    <cfRule type="expression" dxfId="9448" priority="248">
      <formula>AND(E$9&gt;=14/24,E$9&lt;20/24)</formula>
    </cfRule>
    <cfRule type="expression" dxfId="9447" priority="249">
      <formula>AND(E$9&gt;=8/24,E$9&lt;14/24)</formula>
    </cfRule>
    <cfRule type="expression" dxfId="9446" priority="250">
      <formula>E$9&lt;8/24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9445" priority="245">
      <formula>$AH40=0</formula>
    </cfRule>
  </conditionalFormatting>
  <conditionalFormatting sqref="A90">
    <cfRule type="expression" dxfId="9444" priority="243">
      <formula>$AH90=0</formula>
    </cfRule>
  </conditionalFormatting>
  <conditionalFormatting sqref="A87">
    <cfRule type="expression" dxfId="9443" priority="244">
      <formula>$AH87=0</formula>
    </cfRule>
  </conditionalFormatting>
  <conditionalFormatting sqref="E110:AF110">
    <cfRule type="expression" dxfId="9442" priority="239">
      <formula>E$9&gt;=20/24</formula>
    </cfRule>
    <cfRule type="expression" dxfId="9441" priority="240">
      <formula>AND(E$9&gt;=14/24,E$9&lt;20/24)</formula>
    </cfRule>
    <cfRule type="expression" dxfId="9440" priority="241">
      <formula>AND(E$9&gt;=8/24,E$9&lt;14/24)</formula>
    </cfRule>
    <cfRule type="expression" dxfId="9439" priority="242">
      <formula>E$9&lt;8/24</formula>
    </cfRule>
  </conditionalFormatting>
  <conditionalFormatting sqref="A110">
    <cfRule type="expression" dxfId="9438" priority="238">
      <formula>$AH110=0</formula>
    </cfRule>
  </conditionalFormatting>
  <conditionalFormatting sqref="A21">
    <cfRule type="expression" dxfId="9437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9436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9435" priority="230">
      <formula>Y$9&gt;=20/24</formula>
    </cfRule>
    <cfRule type="expression" dxfId="9434" priority="231">
      <formula>AND(Y$9&gt;=14/24,Y$9&lt;20/24)</formula>
    </cfRule>
    <cfRule type="expression" dxfId="9433" priority="232">
      <formula>AND(Y$9&gt;=8/24,Y$9&lt;14/24)</formula>
    </cfRule>
    <cfRule type="expression" dxfId="9432" priority="233">
      <formula>Y$9&lt;8/24</formula>
    </cfRule>
  </conditionalFormatting>
  <conditionalFormatting sqref="Y100:AC106">
    <cfRule type="expression" dxfId="9431" priority="226">
      <formula>Y$9&gt;=20/24</formula>
    </cfRule>
    <cfRule type="expression" dxfId="9430" priority="227">
      <formula>AND(Y$9&gt;=14/24,Y$9&lt;20/24)</formula>
    </cfRule>
    <cfRule type="expression" dxfId="9429" priority="228">
      <formula>AND(Y$9&gt;=8/24,Y$9&lt;14/24)</formula>
    </cfRule>
    <cfRule type="expression" dxfId="9428" priority="229">
      <formula>Y$9&lt;8/24</formula>
    </cfRule>
  </conditionalFormatting>
  <conditionalFormatting sqref="Z34:AF43 Z17:AF32">
    <cfRule type="expression" dxfId="9427" priority="222">
      <formula>Z$9&gt;=20/24</formula>
    </cfRule>
    <cfRule type="expression" dxfId="9426" priority="223">
      <formula>AND(Z$9&gt;=14/24,Z$9&lt;20/24)</formula>
    </cfRule>
    <cfRule type="expression" dxfId="9425" priority="224">
      <formula>AND(Z$9&gt;=8/24,Z$9&lt;14/24)</formula>
    </cfRule>
    <cfRule type="expression" dxfId="9424" priority="225">
      <formula>Z$9&lt;8/24</formula>
    </cfRule>
  </conditionalFormatting>
  <conditionalFormatting sqref="L47:S47">
    <cfRule type="expression" dxfId="9423" priority="218">
      <formula>L$9&gt;=20/24</formula>
    </cfRule>
    <cfRule type="expression" dxfId="9422" priority="219">
      <formula>AND(L$9&gt;=14/24,L$9&lt;20/24)</formula>
    </cfRule>
    <cfRule type="expression" dxfId="9421" priority="220">
      <formula>AND(L$9&gt;=8/24,L$9&lt;14/24)</formula>
    </cfRule>
    <cfRule type="expression" dxfId="9420" priority="221">
      <formula>L$9&lt;8/24</formula>
    </cfRule>
  </conditionalFormatting>
  <conditionalFormatting sqref="L47:S47 Z34:AF43 Z17:AF32">
    <cfRule type="expression" dxfId="9419" priority="217">
      <formula>L17&gt;$AG17</formula>
    </cfRule>
  </conditionalFormatting>
  <conditionalFormatting sqref="C86 C96:W96 C83:AF85 F67:R69 E74:Y76 Z75:AF76">
    <cfRule type="expression" dxfId="9418" priority="209">
      <formula>C$9&gt;=20/24</formula>
    </cfRule>
    <cfRule type="expression" dxfId="9417" priority="210">
      <formula>AND(C$9&gt;=14/24,C$9&lt;20/24)</formula>
    </cfRule>
    <cfRule type="expression" dxfId="9416" priority="211">
      <formula>AND(C$9&gt;=8/24,C$9&lt;14/24)</formula>
    </cfRule>
    <cfRule type="expression" dxfId="9415" priority="212">
      <formula>C$9&lt;8/24</formula>
    </cfRule>
  </conditionalFormatting>
  <conditionalFormatting sqref="H56:L57 F67:R69">
    <cfRule type="expression" dxfId="9414" priority="208">
      <formula>F56&gt;$AG56</formula>
    </cfRule>
  </conditionalFormatting>
  <conditionalFormatting sqref="H58:P58">
    <cfRule type="expression" dxfId="9413" priority="204">
      <formula>H$9&gt;=20/24</formula>
    </cfRule>
    <cfRule type="expression" dxfId="9412" priority="205">
      <formula>AND(H$9&gt;=14/24,H$9&lt;20/24)</formula>
    </cfRule>
    <cfRule type="expression" dxfId="9411" priority="206">
      <formula>AND(H$9&gt;=8/24,H$9&lt;14/24)</formula>
    </cfRule>
    <cfRule type="expression" dxfId="9410" priority="207">
      <formula>H$9&lt;8/24</formula>
    </cfRule>
  </conditionalFormatting>
  <conditionalFormatting sqref="H58:P58">
    <cfRule type="expression" dxfId="9409" priority="203">
      <formula>H58&gt;$AG58</formula>
    </cfRule>
  </conditionalFormatting>
  <conditionalFormatting sqref="B54:E57 B71:D71 F56:G57">
    <cfRule type="expression" dxfId="9408" priority="132">
      <formula>B$9&gt;=20/24</formula>
    </cfRule>
    <cfRule type="expression" dxfId="9407" priority="133">
      <formula>AND(B$9&gt;=14/24,B$9&lt;20/24)</formula>
    </cfRule>
    <cfRule type="expression" dxfId="9406" priority="134">
      <formula>AND(B$9&gt;=8/24,B$9&lt;14/24)</formula>
    </cfRule>
    <cfRule type="expression" dxfId="9405" priority="135">
      <formula>B$9&lt;8/24</formula>
    </cfRule>
  </conditionalFormatting>
  <conditionalFormatting sqref="C87:AF87 C89:AF89 C98:AF98 C70:AF70">
    <cfRule type="expression" dxfId="9404" priority="199">
      <formula>C$9&gt;=20/24</formula>
    </cfRule>
    <cfRule type="expression" dxfId="9403" priority="200">
      <formula>AND(C$9&gt;=14/24,C$9&lt;20/24)</formula>
    </cfRule>
    <cfRule type="expression" dxfId="9402" priority="201">
      <formula>AND(C$9&gt;=8/24,C$9&lt;14/24)</formula>
    </cfRule>
    <cfRule type="expression" dxfId="9401" priority="202">
      <formula>C$9&lt;8/24</formula>
    </cfRule>
  </conditionalFormatting>
  <conditionalFormatting sqref="C70:AF70 C48:AF48 C65:AF66">
    <cfRule type="expression" dxfId="9400" priority="198">
      <formula>C48&gt;$AG48</formula>
    </cfRule>
  </conditionalFormatting>
  <conditionalFormatting sqref="C82:AF82">
    <cfRule type="expression" dxfId="9399" priority="194">
      <formula>C$9&gt;=20/24</formula>
    </cfRule>
    <cfRule type="expression" dxfId="9398" priority="195">
      <formula>AND(C$9&gt;=14/24,C$9&lt;20/24)</formula>
    </cfRule>
    <cfRule type="expression" dxfId="9397" priority="196">
      <formula>AND(C$9&gt;=8/24,C$9&lt;14/24)</formula>
    </cfRule>
    <cfRule type="expression" dxfId="9396" priority="197">
      <formula>C$9&lt;8/24</formula>
    </cfRule>
  </conditionalFormatting>
  <conditionalFormatting sqref="C91:W95">
    <cfRule type="expression" dxfId="9395" priority="190">
      <formula>C$9&gt;=20/24</formula>
    </cfRule>
    <cfRule type="expression" dxfId="9394" priority="191">
      <formula>AND(C$9&gt;=14/24,C$9&lt;20/24)</formula>
    </cfRule>
    <cfRule type="expression" dxfId="9393" priority="192">
      <formula>AND(C$9&gt;=8/24,C$9&lt;14/24)</formula>
    </cfRule>
    <cfRule type="expression" dxfId="9392" priority="193">
      <formula>C$9&lt;8/24</formula>
    </cfRule>
  </conditionalFormatting>
  <conditionalFormatting sqref="C52:AF52">
    <cfRule type="expression" dxfId="9391" priority="186">
      <formula>C$9&gt;=20/24</formula>
    </cfRule>
    <cfRule type="expression" dxfId="9390" priority="187">
      <formula>AND(C$9&gt;=14/24,C$9&lt;20/24)</formula>
    </cfRule>
    <cfRule type="expression" dxfId="9389" priority="188">
      <formula>AND(C$9&gt;=8/24,C$9&lt;14/24)</formula>
    </cfRule>
    <cfRule type="expression" dxfId="9388" priority="189">
      <formula>C$9&lt;8/24</formula>
    </cfRule>
  </conditionalFormatting>
  <conditionalFormatting sqref="C52:AF52">
    <cfRule type="expression" dxfId="9387" priority="185">
      <formula>C52&gt;$AG52</formula>
    </cfRule>
  </conditionalFormatting>
  <conditionalFormatting sqref="B49:D51">
    <cfRule type="expression" dxfId="9386" priority="100">
      <formula>B$9&gt;=20/24</formula>
    </cfRule>
    <cfRule type="expression" dxfId="9385" priority="101">
      <formula>AND(B$9&gt;=14/24,B$9&lt;20/24)</formula>
    </cfRule>
    <cfRule type="expression" dxfId="9384" priority="102">
      <formula>AND(B$9&gt;=8/24,B$9&lt;14/24)</formula>
    </cfRule>
    <cfRule type="expression" dxfId="9383" priority="103">
      <formula>B$9&lt;8/24</formula>
    </cfRule>
  </conditionalFormatting>
  <conditionalFormatting sqref="H59:J61 K59:Y63 Z59:AF64">
    <cfRule type="expression" dxfId="9382" priority="173">
      <formula>H$9&gt;=20/24</formula>
    </cfRule>
    <cfRule type="expression" dxfId="9381" priority="174">
      <formula>AND(H$9&gt;=14/24,H$9&lt;20/24)</formula>
    </cfRule>
    <cfRule type="expression" dxfId="9380" priority="175">
      <formula>AND(H$9&gt;=8/24,H$9&lt;14/24)</formula>
    </cfRule>
    <cfRule type="expression" dxfId="9379" priority="176">
      <formula>H$9&lt;8/24</formula>
    </cfRule>
  </conditionalFormatting>
  <conditionalFormatting sqref="H59:J61 K59:Y63 Z59:AF64">
    <cfRule type="expression" dxfId="9378" priority="172">
      <formula>H59&gt;$AG59</formula>
    </cfRule>
  </conditionalFormatting>
  <conditionalFormatting sqref="Z45:AF45 L13:AF15">
    <cfRule type="expression" dxfId="9377" priority="171">
      <formula>L13&gt;$AG13</formula>
    </cfRule>
  </conditionalFormatting>
  <conditionalFormatting sqref="L12:AF12">
    <cfRule type="expression" dxfId="9376" priority="167">
      <formula>L$9&gt;=20/24</formula>
    </cfRule>
    <cfRule type="expression" dxfId="9375" priority="168">
      <formula>AND(L$9&gt;=14/24,L$9&lt;20/24)</formula>
    </cfRule>
    <cfRule type="expression" dxfId="9374" priority="169">
      <formula>AND(L$9&gt;=8/24,L$9&lt;14/24)</formula>
    </cfRule>
    <cfRule type="expression" dxfId="9373" priority="170">
      <formula>L$9&lt;8/24</formula>
    </cfRule>
  </conditionalFormatting>
  <conditionalFormatting sqref="L12:AF12">
    <cfRule type="expression" dxfId="9372" priority="166">
      <formula>L12&gt;$AG12</formula>
    </cfRule>
  </conditionalFormatting>
  <conditionalFormatting sqref="L13:AF15">
    <cfRule type="expression" dxfId="9371" priority="162">
      <formula>L$9&gt;=20/24</formula>
    </cfRule>
    <cfRule type="expression" dxfId="9370" priority="163">
      <formula>AND(L$9&gt;=14/24,L$9&lt;20/24)</formula>
    </cfRule>
    <cfRule type="expression" dxfId="9369" priority="164">
      <formula>AND(L$9&gt;=8/24,L$9&lt;14/24)</formula>
    </cfRule>
    <cfRule type="expression" dxfId="9368" priority="165">
      <formula>L$9&lt;8/24</formula>
    </cfRule>
  </conditionalFormatting>
  <conditionalFormatting sqref="Z45:AF45">
    <cfRule type="expression" dxfId="9367" priority="158">
      <formula>Z$9&gt;=20/24</formula>
    </cfRule>
    <cfRule type="expression" dxfId="9366" priority="159">
      <formula>AND(Z$9&gt;=14/24,Z$9&lt;20/24)</formula>
    </cfRule>
    <cfRule type="expression" dxfId="9365" priority="160">
      <formula>AND(Z$9&gt;=8/24,Z$9&lt;14/24)</formula>
    </cfRule>
    <cfRule type="expression" dxfId="9364" priority="161">
      <formula>Z$9&lt;8/24</formula>
    </cfRule>
  </conditionalFormatting>
  <conditionalFormatting sqref="E77:AF81">
    <cfRule type="expression" dxfId="9363" priority="154">
      <formula>E$9&gt;=20/24</formula>
    </cfRule>
    <cfRule type="expression" dxfId="9362" priority="155">
      <formula>AND(E$9&gt;=14/24,E$9&lt;20/24)</formula>
    </cfRule>
    <cfRule type="expression" dxfId="9361" priority="156">
      <formula>AND(E$9&gt;=8/24,E$9&lt;14/24)</formula>
    </cfRule>
    <cfRule type="expression" dxfId="9360" priority="157">
      <formula>E$9&lt;8/24</formula>
    </cfRule>
  </conditionalFormatting>
  <conditionalFormatting sqref="AL78:AN78 AL84:AN84 AN79:AN80">
    <cfRule type="expression" dxfId="9359" priority="150">
      <formula>AL$9&gt;=20/24</formula>
    </cfRule>
    <cfRule type="expression" dxfId="9358" priority="151">
      <formula>AND(AL$9&gt;=14/24,AL$9&lt;20/24)</formula>
    </cfRule>
    <cfRule type="expression" dxfId="9357" priority="152">
      <formula>AND(AL$9&gt;=8/24,AL$9&lt;14/24)</formula>
    </cfRule>
    <cfRule type="expression" dxfId="9356" priority="153">
      <formula>AL$9&lt;8/24</formula>
    </cfRule>
  </conditionalFormatting>
  <conditionalFormatting sqref="AN81:AN82">
    <cfRule type="expression" dxfId="9355" priority="146">
      <formula>AN$9&gt;=20/24</formula>
    </cfRule>
    <cfRule type="expression" dxfId="9354" priority="147">
      <formula>AND(AN$9&gt;=14/24,AN$9&lt;20/24)</formula>
    </cfRule>
    <cfRule type="expression" dxfId="9353" priority="148">
      <formula>AND(AN$9&gt;=8/24,AN$9&lt;14/24)</formula>
    </cfRule>
    <cfRule type="expression" dxfId="9352" priority="149">
      <formula>AN$9&lt;8/24</formula>
    </cfRule>
  </conditionalFormatting>
  <conditionalFormatting sqref="AL79:AM83">
    <cfRule type="expression" dxfId="9351" priority="363">
      <formula>AJ$9&gt;=20/24</formula>
    </cfRule>
    <cfRule type="expression" dxfId="9350" priority="364">
      <formula>AND(AJ$9&gt;=14/24,AJ$9&lt;20/24)</formula>
    </cfRule>
    <cfRule type="expression" dxfId="9349" priority="365">
      <formula>AND(AJ$9&gt;=8/24,AJ$9&lt;14/24)</formula>
    </cfRule>
    <cfRule type="expression" dxfId="9348" priority="366">
      <formula>AJ$9&lt;8/24</formula>
    </cfRule>
  </conditionalFormatting>
  <conditionalFormatting sqref="A117">
    <cfRule type="expression" dxfId="9347" priority="145">
      <formula>$AH117=0</formula>
    </cfRule>
  </conditionalFormatting>
  <conditionalFormatting sqref="B109:D109 B111:D116 B12:K15 B34:Y43 B45:Y45 B17:Y32">
    <cfRule type="expression" dxfId="9346" priority="141">
      <formula>B$9&gt;=20/24</formula>
    </cfRule>
    <cfRule type="expression" dxfId="9345" priority="142">
      <formula>AND(B$9&gt;=14/24,B$9&lt;20/24)</formula>
    </cfRule>
    <cfRule type="expression" dxfId="9344" priority="143">
      <formula>AND(B$9&gt;=8/24,B$9&lt;14/24)</formula>
    </cfRule>
    <cfRule type="expression" dxfId="9343" priority="144">
      <formula>B$9&lt;8/24</formula>
    </cfRule>
  </conditionalFormatting>
  <conditionalFormatting sqref="B12:K15 B34:Y43 B45:Y45 B17:Y32">
    <cfRule type="expression" dxfId="9342" priority="140">
      <formula>B12&gt;$AG12</formula>
    </cfRule>
  </conditionalFormatting>
  <conditionalFormatting sqref="B99:D99">
    <cfRule type="expression" dxfId="9341" priority="136">
      <formula>B$9&gt;=20/24</formula>
    </cfRule>
    <cfRule type="expression" dxfId="9340" priority="137">
      <formula>AND(B$9&gt;=14/24,B$9&lt;20/24)</formula>
    </cfRule>
    <cfRule type="expression" dxfId="9339" priority="138">
      <formula>AND(B$9&gt;=8/24,B$9&lt;14/24)</formula>
    </cfRule>
    <cfRule type="expression" dxfId="9338" priority="139">
      <formula>B$9&lt;8/24</formula>
    </cfRule>
  </conditionalFormatting>
  <conditionalFormatting sqref="B53:E53">
    <cfRule type="expression" dxfId="9337" priority="128">
      <formula>B$9&gt;=20/24</formula>
    </cfRule>
    <cfRule type="expression" dxfId="9336" priority="129">
      <formula>AND(B$9&gt;=14/24,B$9&lt;20/24)</formula>
    </cfRule>
    <cfRule type="expression" dxfId="9335" priority="130">
      <formula>AND(B$9&gt;=8/24,B$9&lt;14/24)</formula>
    </cfRule>
    <cfRule type="expression" dxfId="9334" priority="131">
      <formula>B$9&lt;8/24</formula>
    </cfRule>
  </conditionalFormatting>
  <conditionalFormatting sqref="B53:E57 F56:G57">
    <cfRule type="expression" dxfId="9333" priority="127">
      <formula>B53&gt;$AG53</formula>
    </cfRule>
  </conditionalFormatting>
  <conditionalFormatting sqref="B96 B86 B67:E69 B72:D74 B100:D106 B47:K47">
    <cfRule type="expression" dxfId="9332" priority="123">
      <formula>B$9&gt;=20/24</formula>
    </cfRule>
    <cfRule type="expression" dxfId="9331" priority="124">
      <formula>AND(B$9&gt;=14/24,B$9&lt;20/24)</formula>
    </cfRule>
    <cfRule type="expression" dxfId="9330" priority="125">
      <formula>AND(B$9&gt;=8/24,B$9&lt;14/24)</formula>
    </cfRule>
    <cfRule type="expression" dxfId="9329" priority="126">
      <formula>B$9&lt;8/24</formula>
    </cfRule>
  </conditionalFormatting>
  <conditionalFormatting sqref="B67:E69 B47:K47">
    <cfRule type="expression" dxfId="9328" priority="122">
      <formula>B47&gt;$AG47</formula>
    </cfRule>
  </conditionalFormatting>
  <conditionalFormatting sqref="B97 B88:C88">
    <cfRule type="expression" dxfId="9327" priority="118">
      <formula>B$9&gt;=20/24</formula>
    </cfRule>
    <cfRule type="expression" dxfId="9326" priority="119">
      <formula>AND(B$9&gt;=14/24,B$9&lt;20/24)</formula>
    </cfRule>
    <cfRule type="expression" dxfId="9325" priority="120">
      <formula>AND(B$9&gt;=8/24,B$9&lt;14/24)</formula>
    </cfRule>
    <cfRule type="expression" dxfId="9324" priority="121">
      <formula>B$9&lt;8/24</formula>
    </cfRule>
  </conditionalFormatting>
  <conditionalFormatting sqref="B46:AF46">
    <cfRule type="expression" dxfId="9323" priority="114">
      <formula>B$9&gt;=20/24</formula>
    </cfRule>
    <cfRule type="expression" dxfId="9322" priority="115">
      <formula>AND(B$9&gt;=14/24,B$9&lt;20/24)</formula>
    </cfRule>
    <cfRule type="expression" dxfId="9321" priority="116">
      <formula>AND(B$9&gt;=8/24,B$9&lt;14/24)</formula>
    </cfRule>
    <cfRule type="expression" dxfId="9320" priority="117">
      <formula>B$9&lt;8/24</formula>
    </cfRule>
  </conditionalFormatting>
  <conditionalFormatting sqref="B46:AF46">
    <cfRule type="expression" dxfId="9319" priority="113">
      <formula>B46&gt;$AG46</formula>
    </cfRule>
  </conditionalFormatting>
  <conditionalFormatting sqref="B58:G58">
    <cfRule type="expression" dxfId="9318" priority="109">
      <formula>B$9&gt;=20/24</formula>
    </cfRule>
    <cfRule type="expression" dxfId="9317" priority="110">
      <formula>AND(B$9&gt;=14/24,B$9&lt;20/24)</formula>
    </cfRule>
    <cfRule type="expression" dxfId="9316" priority="111">
      <formula>AND(B$9&gt;=8/24,B$9&lt;14/24)</formula>
    </cfRule>
    <cfRule type="expression" dxfId="9315" priority="112">
      <formula>B$9&lt;8/24</formula>
    </cfRule>
  </conditionalFormatting>
  <conditionalFormatting sqref="B58:G58">
    <cfRule type="expression" dxfId="9314" priority="108">
      <formula>B58&gt;$AG58</formula>
    </cfRule>
  </conditionalFormatting>
  <conditionalFormatting sqref="B91:B95">
    <cfRule type="expression" dxfId="9313" priority="104">
      <formula>B$9&gt;=20/24</formula>
    </cfRule>
    <cfRule type="expression" dxfId="9312" priority="105">
      <formula>AND(B$9&gt;=14/24,B$9&lt;20/24)</formula>
    </cfRule>
    <cfRule type="expression" dxfId="9311" priority="106">
      <formula>AND(B$9&gt;=8/24,B$9&lt;14/24)</formula>
    </cfRule>
    <cfRule type="expression" dxfId="9310" priority="107">
      <formula>B$9&lt;8/24</formula>
    </cfRule>
  </conditionalFormatting>
  <conditionalFormatting sqref="B49:D51">
    <cfRule type="expression" dxfId="9309" priority="99">
      <formula>B49&gt;$AG49</formula>
    </cfRule>
  </conditionalFormatting>
  <conditionalFormatting sqref="B107:D107">
    <cfRule type="expression" dxfId="9308" priority="95">
      <formula>B$9&gt;=20/24</formula>
    </cfRule>
    <cfRule type="expression" dxfId="9307" priority="96">
      <formula>AND(B$9&gt;=14/24,B$9&lt;20/24)</formula>
    </cfRule>
    <cfRule type="expression" dxfId="9306" priority="97">
      <formula>AND(B$9&gt;=8/24,B$9&lt;14/24)</formula>
    </cfRule>
    <cfRule type="expression" dxfId="9305" priority="98">
      <formula>B$9&lt;8/24</formula>
    </cfRule>
  </conditionalFormatting>
  <conditionalFormatting sqref="B110:D110">
    <cfRule type="expression" dxfId="9304" priority="91">
      <formula>B$9&gt;=20/24</formula>
    </cfRule>
    <cfRule type="expression" dxfId="9303" priority="92">
      <formula>AND(B$9&gt;=14/24,B$9&lt;20/24)</formula>
    </cfRule>
    <cfRule type="expression" dxfId="9302" priority="93">
      <formula>AND(B$9&gt;=8/24,B$9&lt;14/24)</formula>
    </cfRule>
    <cfRule type="expression" dxfId="9301" priority="94">
      <formula>B$9&lt;8/24</formula>
    </cfRule>
  </conditionalFormatting>
  <conditionalFormatting sqref="B83:B85 B75:D76">
    <cfRule type="expression" dxfId="9300" priority="87">
      <formula>B$9&gt;=20/24</formula>
    </cfRule>
    <cfRule type="expression" dxfId="9299" priority="88">
      <formula>AND(B$9&gt;=14/24,B$9&lt;20/24)</formula>
    </cfRule>
    <cfRule type="expression" dxfId="9298" priority="89">
      <formula>AND(B$9&gt;=8/24,B$9&lt;14/24)</formula>
    </cfRule>
    <cfRule type="expression" dxfId="9297" priority="90">
      <formula>B$9&lt;8/24</formula>
    </cfRule>
  </conditionalFormatting>
  <conditionalFormatting sqref="B89 B98 B70 B87">
    <cfRule type="expression" dxfId="9296" priority="83">
      <formula>B$9&gt;=20/24</formula>
    </cfRule>
    <cfRule type="expression" dxfId="9295" priority="84">
      <formula>AND(B$9&gt;=14/24,B$9&lt;20/24)</formula>
    </cfRule>
    <cfRule type="expression" dxfId="9294" priority="85">
      <formula>AND(B$9&gt;=8/24,B$9&lt;14/24)</formula>
    </cfRule>
    <cfRule type="expression" dxfId="9293" priority="86">
      <formula>B$9&lt;8/24</formula>
    </cfRule>
  </conditionalFormatting>
  <conditionalFormatting sqref="B48 B65:B66 B70">
    <cfRule type="expression" dxfId="9292" priority="82">
      <formula>B48&gt;$AG48</formula>
    </cfRule>
  </conditionalFormatting>
  <conditionalFormatting sqref="B82">
    <cfRule type="expression" dxfId="9291" priority="78">
      <formula>B$9&gt;=20/24</formula>
    </cfRule>
    <cfRule type="expression" dxfId="9290" priority="79">
      <formula>AND(B$9&gt;=14/24,B$9&lt;20/24)</formula>
    </cfRule>
    <cfRule type="expression" dxfId="9289" priority="80">
      <formula>AND(B$9&gt;=8/24,B$9&lt;14/24)</formula>
    </cfRule>
    <cfRule type="expression" dxfId="9288" priority="81">
      <formula>B$9&lt;8/24</formula>
    </cfRule>
  </conditionalFormatting>
  <conditionalFormatting sqref="B52">
    <cfRule type="expression" dxfId="9287" priority="74">
      <formula>B$9&gt;=20/24</formula>
    </cfRule>
    <cfRule type="expression" dxfId="9286" priority="75">
      <formula>AND(B$9&gt;=14/24,B$9&lt;20/24)</formula>
    </cfRule>
    <cfRule type="expression" dxfId="9285" priority="76">
      <formula>AND(B$9&gt;=8/24,B$9&lt;14/24)</formula>
    </cfRule>
    <cfRule type="expression" dxfId="9284" priority="77">
      <formula>B$9&lt;8/24</formula>
    </cfRule>
  </conditionalFormatting>
  <conditionalFormatting sqref="B52">
    <cfRule type="expression" dxfId="9283" priority="73">
      <formula>B52&gt;$AG52</formula>
    </cfRule>
  </conditionalFormatting>
  <conditionalFormatting sqref="B59:G61 B62:J63 B64:Y64">
    <cfRule type="expression" dxfId="9282" priority="65">
      <formula>B$9&gt;=20/24</formula>
    </cfRule>
    <cfRule type="expression" dxfId="9281" priority="66">
      <formula>AND(B$9&gt;=14/24,B$9&lt;20/24)</formula>
    </cfRule>
    <cfRule type="expression" dxfId="9280" priority="67">
      <formula>AND(B$9&gt;=8/24,B$9&lt;14/24)</formula>
    </cfRule>
    <cfRule type="expression" dxfId="9279" priority="68">
      <formula>B$9&lt;8/24</formula>
    </cfRule>
  </conditionalFormatting>
  <conditionalFormatting sqref="B59:G61 B62:J63 B64:Y64">
    <cfRule type="expression" dxfId="9278" priority="64">
      <formula>B59&gt;$AG59</formula>
    </cfRule>
  </conditionalFormatting>
  <conditionalFormatting sqref="B77:D81">
    <cfRule type="expression" dxfId="9277" priority="60">
      <formula>B$9&gt;=20/24</formula>
    </cfRule>
    <cfRule type="expression" dxfId="9276" priority="61">
      <formula>AND(B$9&gt;=14/24,B$9&lt;20/24)</formula>
    </cfRule>
    <cfRule type="expression" dxfId="9275" priority="62">
      <formula>AND(B$9&gt;=8/24,B$9&lt;14/24)</formula>
    </cfRule>
    <cfRule type="expression" dxfId="9274" priority="63">
      <formula>B$9&lt;8/24</formula>
    </cfRule>
  </conditionalFormatting>
  <conditionalFormatting sqref="A11">
    <cfRule type="expression" dxfId="9273" priority="59">
      <formula>$AH11=0</formula>
    </cfRule>
  </conditionalFormatting>
  <conditionalFormatting sqref="L11:AF11">
    <cfRule type="expression" dxfId="9272" priority="55">
      <formula>L$9&gt;=20/24</formula>
    </cfRule>
    <cfRule type="expression" dxfId="9271" priority="56">
      <formula>AND(L$9&gt;=14/24,L$9&lt;20/24)</formula>
    </cfRule>
    <cfRule type="expression" dxfId="9270" priority="57">
      <formula>AND(L$9&gt;=8/24,L$9&lt;14/24)</formula>
    </cfRule>
    <cfRule type="expression" dxfId="9269" priority="58">
      <formula>L$9&lt;8/24</formula>
    </cfRule>
  </conditionalFormatting>
  <conditionalFormatting sqref="L11:AF11">
    <cfRule type="expression" dxfId="9268" priority="54">
      <formula>L11&gt;$AG11</formula>
    </cfRule>
  </conditionalFormatting>
  <conditionalFormatting sqref="B11:K11">
    <cfRule type="expression" dxfId="9267" priority="50">
      <formula>B$9&gt;=20/24</formula>
    </cfRule>
    <cfRule type="expression" dxfId="9266" priority="51">
      <formula>AND(B$9&gt;=14/24,B$9&lt;20/24)</formula>
    </cfRule>
    <cfRule type="expression" dxfId="9265" priority="52">
      <formula>AND(B$9&gt;=8/24,B$9&lt;14/24)</formula>
    </cfRule>
    <cfRule type="expression" dxfId="9264" priority="53">
      <formula>B$9&lt;8/24</formula>
    </cfRule>
  </conditionalFormatting>
  <conditionalFormatting sqref="B11:K11">
    <cfRule type="expression" dxfId="9263" priority="49">
      <formula>B11&gt;$AG11</formula>
    </cfRule>
  </conditionalFormatting>
  <conditionalFormatting sqref="A16">
    <cfRule type="expression" dxfId="9262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9261" priority="43">
      <formula>Z$9&gt;=20/24</formula>
    </cfRule>
    <cfRule type="expression" dxfId="9260" priority="44">
      <formula>AND(Z$9&gt;=14/24,Z$9&lt;20/24)</formula>
    </cfRule>
    <cfRule type="expression" dxfId="9259" priority="45">
      <formula>AND(Z$9&gt;=8/24,Z$9&lt;14/24)</formula>
    </cfRule>
    <cfRule type="expression" dxfId="9258" priority="46">
      <formula>Z$9&lt;8/24</formula>
    </cfRule>
  </conditionalFormatting>
  <conditionalFormatting sqref="Z16:AF16">
    <cfRule type="expression" dxfId="9257" priority="42">
      <formula>Z16&gt;$AG16</formula>
    </cfRule>
  </conditionalFormatting>
  <conditionalFormatting sqref="B16:Y16">
    <cfRule type="expression" dxfId="9256" priority="38">
      <formula>B$9&gt;=20/24</formula>
    </cfRule>
    <cfRule type="expression" dxfId="9255" priority="39">
      <formula>AND(B$9&gt;=14/24,B$9&lt;20/24)</formula>
    </cfRule>
    <cfRule type="expression" dxfId="9254" priority="40">
      <formula>AND(B$9&gt;=8/24,B$9&lt;14/24)</formula>
    </cfRule>
    <cfRule type="expression" dxfId="9253" priority="41">
      <formula>B$9&lt;8/24</formula>
    </cfRule>
  </conditionalFormatting>
  <conditionalFormatting sqref="B16:Y16">
    <cfRule type="expression" dxfId="9252" priority="37">
      <formula>B16&gt;$AG16</formula>
    </cfRule>
  </conditionalFormatting>
  <conditionalFormatting sqref="A33">
    <cfRule type="expression" dxfId="9251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9250" priority="31">
      <formula>Z$9&gt;=20/24</formula>
    </cfRule>
    <cfRule type="expression" dxfId="9249" priority="32">
      <formula>AND(Z$9&gt;=14/24,Z$9&lt;20/24)</formula>
    </cfRule>
    <cfRule type="expression" dxfId="9248" priority="33">
      <formula>AND(Z$9&gt;=8/24,Z$9&lt;14/24)</formula>
    </cfRule>
    <cfRule type="expression" dxfId="9247" priority="34">
      <formula>Z$9&lt;8/24</formula>
    </cfRule>
  </conditionalFormatting>
  <conditionalFormatting sqref="Z33:AF33">
    <cfRule type="expression" dxfId="9246" priority="30">
      <formula>Z33&gt;$AG33</formula>
    </cfRule>
  </conditionalFormatting>
  <conditionalFormatting sqref="B33:Y33">
    <cfRule type="expression" dxfId="9245" priority="26">
      <formula>B$9&gt;=20/24</formula>
    </cfRule>
    <cfRule type="expression" dxfId="9244" priority="27">
      <formula>AND(B$9&gt;=14/24,B$9&lt;20/24)</formula>
    </cfRule>
    <cfRule type="expression" dxfId="9243" priority="28">
      <formula>AND(B$9&gt;=8/24,B$9&lt;14/24)</formula>
    </cfRule>
    <cfRule type="expression" dxfId="9242" priority="29">
      <formula>B$9&lt;8/24</formula>
    </cfRule>
  </conditionalFormatting>
  <conditionalFormatting sqref="B33:Y33">
    <cfRule type="expression" dxfId="9241" priority="25">
      <formula>B33&gt;$AG33</formula>
    </cfRule>
  </conditionalFormatting>
  <conditionalFormatting sqref="A44">
    <cfRule type="expression" dxfId="9240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9239" priority="22">
      <formula>Z44&gt;$AG44</formula>
    </cfRule>
  </conditionalFormatting>
  <conditionalFormatting sqref="Z44:AF44">
    <cfRule type="expression" dxfId="9238" priority="18">
      <formula>Z$9&gt;=20/24</formula>
    </cfRule>
    <cfRule type="expression" dxfId="9237" priority="19">
      <formula>AND(Z$9&gt;=14/24,Z$9&lt;20/24)</formula>
    </cfRule>
    <cfRule type="expression" dxfId="9236" priority="20">
      <formula>AND(Z$9&gt;=8/24,Z$9&lt;14/24)</formula>
    </cfRule>
    <cfRule type="expression" dxfId="9235" priority="21">
      <formula>Z$9&lt;8/24</formula>
    </cfRule>
  </conditionalFormatting>
  <conditionalFormatting sqref="B44:Y44">
    <cfRule type="expression" dxfId="9234" priority="14">
      <formula>B$9&gt;=20/24</formula>
    </cfRule>
    <cfRule type="expression" dxfId="9233" priority="15">
      <formula>AND(B$9&gt;=14/24,B$9&lt;20/24)</formula>
    </cfRule>
    <cfRule type="expression" dxfId="9232" priority="16">
      <formula>AND(B$9&gt;=8/24,B$9&lt;14/24)</formula>
    </cfRule>
    <cfRule type="expression" dxfId="9231" priority="17">
      <formula>B$9&lt;8/24</formula>
    </cfRule>
  </conditionalFormatting>
  <conditionalFormatting sqref="B44:Y44">
    <cfRule type="expression" dxfId="9230" priority="13">
      <formula>B44&gt;$AG44</formula>
    </cfRule>
  </conditionalFormatting>
  <conditionalFormatting sqref="B117:D117">
    <cfRule type="expression" dxfId="9229" priority="1">
      <formula>B$9&gt;=20/24</formula>
    </cfRule>
    <cfRule type="expression" dxfId="9228" priority="2">
      <formula>AND(B$9&gt;=14/24,B$9&lt;20/24)</formula>
    </cfRule>
    <cfRule type="expression" dxfId="9227" priority="3">
      <formula>AND(B$9&gt;=8/24,B$9&lt;14/24)</formula>
    </cfRule>
    <cfRule type="expression" dxfId="9226" priority="4">
      <formula>B$9&lt;8/24</formula>
    </cfRule>
  </conditionalFormatting>
  <conditionalFormatting sqref="E117:AF117">
    <cfRule type="expression" dxfId="9225" priority="9">
      <formula>E$9&gt;=20/24</formula>
    </cfRule>
    <cfRule type="expression" dxfId="9224" priority="10">
      <formula>AND(E$9&gt;=14/24,E$9&lt;20/24)</formula>
    </cfRule>
    <cfRule type="expression" dxfId="9223" priority="11">
      <formula>AND(E$9&gt;=8/24,E$9&lt;14/24)</formula>
    </cfRule>
    <cfRule type="expression" dxfId="9222" priority="12">
      <formula>E$9&lt;8/24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56C38243-F0B1-4750-9F30-B76161170EB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7C4FCDE9-7F05-4242-85E3-6F8A9136A6E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1E40AC98-ABB7-4E24-8789-AA22A954A75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EE32EF25-E80C-4279-8805-F414814F576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03E87BB3-6416-4F17-A2B5-03BC23C1955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D3F37306-3B05-44D3-A5B4-CFC4E1834F7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024EB20A-C023-4CA7-9140-5FEE3541A515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117682DD-AB86-47D0-9CD5-C916C9FC74B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Normal="100" workbookViewId="0">
      <pane ySplit="10" topLeftCell="A65" activePane="bottomLeft" state="frozen"/>
      <selection activeCell="Z85" sqref="Z85"/>
      <selection pane="bottomLeft" activeCell="AH11" sqref="AH11:AI117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"2080/"&amp;"1/"&amp;INT(MID(CELL("filename",D6),FIND("]",CELL("filename",D6))+1,200))</f>
        <v>2080/1/3</v>
      </c>
      <c r="C4" s="236"/>
      <c r="D4" s="236"/>
      <c r="E4" s="237" t="str">
        <f ca="1">"2080/"&amp;"1/"&amp;INT(MID(CELL("filename",G6),FIND("]",CELL("filename",G6))+1,200))</f>
        <v>2080/1/3</v>
      </c>
      <c r="F4" s="237"/>
      <c r="G4" s="237"/>
      <c r="H4" s="237" t="str">
        <f ca="1">TEXT(E4,"dddd")</f>
        <v>Wednesday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500.9</v>
      </c>
      <c r="C5" s="33">
        <f t="shared" si="0"/>
        <v>521.4</v>
      </c>
      <c r="D5" s="33">
        <f t="shared" si="0"/>
        <v>565.4</v>
      </c>
      <c r="E5" s="33">
        <f t="shared" si="0"/>
        <v>581.9</v>
      </c>
      <c r="F5" s="33">
        <f t="shared" si="0"/>
        <v>588.88</v>
      </c>
      <c r="G5" s="33">
        <f t="shared" si="0"/>
        <v>580.49999999999989</v>
      </c>
      <c r="H5" s="33">
        <f t="shared" si="0"/>
        <v>539</v>
      </c>
      <c r="I5" s="33">
        <f t="shared" si="0"/>
        <v>579.29999999999995</v>
      </c>
      <c r="J5" s="33">
        <f t="shared" si="0"/>
        <v>579.19999999999993</v>
      </c>
      <c r="K5" s="33">
        <f t="shared" si="0"/>
        <v>597.4</v>
      </c>
      <c r="L5" s="33">
        <f t="shared" si="0"/>
        <v>605.1</v>
      </c>
      <c r="M5" s="33">
        <f t="shared" si="0"/>
        <v>610.4</v>
      </c>
      <c r="N5" s="33">
        <f t="shared" si="0"/>
        <v>615.1</v>
      </c>
      <c r="O5" s="33">
        <f t="shared" si="0"/>
        <v>678.09999999999991</v>
      </c>
      <c r="P5" s="33">
        <f t="shared" si="0"/>
        <v>682.3</v>
      </c>
      <c r="Q5" s="33">
        <f t="shared" si="0"/>
        <v>0</v>
      </c>
      <c r="R5" s="33">
        <f t="shared" si="0"/>
        <v>556.19999999999993</v>
      </c>
      <c r="S5" s="33">
        <f t="shared" si="0"/>
        <v>659.7</v>
      </c>
      <c r="T5" s="33">
        <f t="shared" si="0"/>
        <v>539.1</v>
      </c>
      <c r="U5" s="33">
        <f t="shared" si="0"/>
        <v>617.48</v>
      </c>
      <c r="V5" s="33">
        <f t="shared" si="0"/>
        <v>649.1</v>
      </c>
      <c r="W5" s="33">
        <f t="shared" si="0"/>
        <v>611</v>
      </c>
      <c r="X5" s="33">
        <f t="shared" si="0"/>
        <v>649.29999999999995</v>
      </c>
      <c r="Y5" s="33">
        <f t="shared" si="0"/>
        <v>610.6</v>
      </c>
      <c r="Z5" s="33">
        <f t="shared" si="0"/>
        <v>588.79999999999995</v>
      </c>
      <c r="AA5" s="33">
        <f t="shared" si="0"/>
        <v>559.5</v>
      </c>
      <c r="AB5" s="33">
        <f t="shared" si="0"/>
        <v>556.80000000000007</v>
      </c>
      <c r="AC5" s="33">
        <f t="shared" si="0"/>
        <v>547.99999999999989</v>
      </c>
      <c r="AD5" s="33">
        <f t="shared" si="0"/>
        <v>431.9</v>
      </c>
      <c r="AE5" s="33">
        <f t="shared" si="0"/>
        <v>395.3</v>
      </c>
      <c r="AF5" s="33">
        <f>B82</f>
        <v>441.49999999999994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1487MW at 9:00hr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Load=4</v>
      </c>
      <c r="B7" s="38">
        <f t="shared" ref="B7:AF7" si="1">B89</f>
        <v>1240.9399999999998</v>
      </c>
      <c r="C7" s="38">
        <f t="shared" si="1"/>
        <v>1262.44</v>
      </c>
      <c r="D7" s="38">
        <f t="shared" si="1"/>
        <v>1267.3399999999999</v>
      </c>
      <c r="E7" s="38">
        <f t="shared" si="1"/>
        <v>1249.44</v>
      </c>
      <c r="F7" s="38">
        <f t="shared" si="1"/>
        <v>1230.2399999999998</v>
      </c>
      <c r="G7" s="38">
        <f t="shared" si="1"/>
        <v>1225.1199999999999</v>
      </c>
      <c r="H7" s="38">
        <f t="shared" si="1"/>
        <v>1247.8399999999997</v>
      </c>
      <c r="I7" s="38">
        <f t="shared" si="1"/>
        <v>1219.04</v>
      </c>
      <c r="J7" s="38">
        <f t="shared" si="1"/>
        <v>1348.44</v>
      </c>
      <c r="K7" s="38">
        <f t="shared" si="1"/>
        <v>1418.54</v>
      </c>
      <c r="L7" s="38">
        <f t="shared" si="1"/>
        <v>1445.44</v>
      </c>
      <c r="M7" s="38">
        <f t="shared" si="1"/>
        <v>1481.94</v>
      </c>
      <c r="N7" s="38">
        <f>N89</f>
        <v>1487.2399999999998</v>
      </c>
      <c r="O7" s="38">
        <f t="shared" si="1"/>
        <v>1610.1399999999999</v>
      </c>
      <c r="P7" s="38">
        <f t="shared" si="1"/>
        <v>1464.34</v>
      </c>
      <c r="Q7" s="38">
        <f t="shared" si="1"/>
        <v>1468.24</v>
      </c>
      <c r="R7" s="38">
        <f t="shared" si="1"/>
        <v>3.54</v>
      </c>
      <c r="S7" s="38">
        <f t="shared" si="1"/>
        <v>1355.1399999999999</v>
      </c>
      <c r="T7" s="38">
        <f t="shared" si="1"/>
        <v>1484.34</v>
      </c>
      <c r="U7" s="38">
        <f t="shared" si="1"/>
        <v>1381.54</v>
      </c>
      <c r="V7" s="38">
        <f t="shared" si="1"/>
        <v>1433.62</v>
      </c>
      <c r="W7" s="38">
        <f t="shared" si="1"/>
        <v>1517.94</v>
      </c>
      <c r="X7" s="38">
        <f t="shared" si="1"/>
        <v>1525.34</v>
      </c>
      <c r="Y7" s="38">
        <f t="shared" si="1"/>
        <v>1583.7399999999998</v>
      </c>
      <c r="Z7" s="38">
        <f t="shared" si="1"/>
        <v>1742.74</v>
      </c>
      <c r="AA7" s="38">
        <f t="shared" si="1"/>
        <v>1698.54</v>
      </c>
      <c r="AB7" s="38">
        <f t="shared" si="1"/>
        <v>1695.84</v>
      </c>
      <c r="AC7" s="38">
        <f t="shared" si="1"/>
        <v>1672.8400000000001</v>
      </c>
      <c r="AD7" s="38">
        <f t="shared" si="1"/>
        <v>1658.44</v>
      </c>
      <c r="AE7" s="38">
        <f t="shared" si="1"/>
        <v>1569.24</v>
      </c>
      <c r="AF7" s="38">
        <f t="shared" si="1"/>
        <v>1361.94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20</v>
      </c>
      <c r="C11" s="50">
        <v>20</v>
      </c>
      <c r="D11" s="50">
        <v>20</v>
      </c>
      <c r="E11" s="50">
        <v>20</v>
      </c>
      <c r="F11" s="50">
        <v>20</v>
      </c>
      <c r="G11" s="50">
        <v>20</v>
      </c>
      <c r="H11" s="50">
        <v>20</v>
      </c>
      <c r="I11" s="50">
        <v>20</v>
      </c>
      <c r="J11" s="50">
        <v>20</v>
      </c>
      <c r="K11" s="50">
        <v>20</v>
      </c>
      <c r="L11" s="50">
        <v>20</v>
      </c>
      <c r="M11" s="50">
        <v>20</v>
      </c>
      <c r="N11" s="50">
        <v>20</v>
      </c>
      <c r="O11" s="50">
        <v>20</v>
      </c>
      <c r="P11" s="50">
        <v>20</v>
      </c>
      <c r="Q11" s="50">
        <v>20</v>
      </c>
      <c r="R11" s="50" t="s">
        <v>257</v>
      </c>
      <c r="S11" s="50">
        <v>23</v>
      </c>
      <c r="T11" s="50">
        <v>25</v>
      </c>
      <c r="U11" s="50">
        <v>25</v>
      </c>
      <c r="V11" s="50">
        <v>25</v>
      </c>
      <c r="W11" s="50">
        <v>25</v>
      </c>
      <c r="X11" s="50">
        <v>25</v>
      </c>
      <c r="Y11" s="50">
        <v>25</v>
      </c>
      <c r="Z11" s="50">
        <v>25</v>
      </c>
      <c r="AA11" s="50">
        <v>25</v>
      </c>
      <c r="AB11" s="50">
        <v>25</v>
      </c>
      <c r="AC11" s="50">
        <v>25</v>
      </c>
      <c r="AD11" s="50">
        <v>25</v>
      </c>
      <c r="AE11" s="50">
        <v>25</v>
      </c>
      <c r="AF11" s="50">
        <v>25</v>
      </c>
      <c r="AG11" s="51">
        <v>86</v>
      </c>
      <c r="AH11" s="52">
        <f t="shared" ref="AH11:AH74" si="2">MAX(B11:AF11)</f>
        <v>25</v>
      </c>
      <c r="AI11" s="53">
        <f t="shared" ref="AI11:AI74" si="3">MIN(B11:AF11)</f>
        <v>20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13.6</v>
      </c>
      <c r="C12" s="50">
        <v>12.6</v>
      </c>
      <c r="D12" s="50">
        <v>12.7</v>
      </c>
      <c r="E12" s="50">
        <v>12.6</v>
      </c>
      <c r="F12" s="50">
        <v>12.6</v>
      </c>
      <c r="G12" s="50">
        <v>12.6</v>
      </c>
      <c r="H12" s="50">
        <v>12.6</v>
      </c>
      <c r="I12" s="50">
        <v>12.6</v>
      </c>
      <c r="J12" s="50">
        <v>12.6</v>
      </c>
      <c r="K12" s="50">
        <v>12.6</v>
      </c>
      <c r="L12" s="50">
        <v>12.6</v>
      </c>
      <c r="M12" s="50">
        <v>12.6</v>
      </c>
      <c r="N12" s="50">
        <v>12.6</v>
      </c>
      <c r="O12" s="50">
        <v>12.6</v>
      </c>
      <c r="P12" s="50">
        <v>12.6</v>
      </c>
      <c r="Q12" s="50">
        <v>12.6</v>
      </c>
      <c r="R12" s="50" t="s">
        <v>258</v>
      </c>
      <c r="S12" s="50">
        <v>12.6</v>
      </c>
      <c r="T12" s="50">
        <v>12.6</v>
      </c>
      <c r="U12" s="50">
        <v>12.6</v>
      </c>
      <c r="V12" s="50">
        <v>12.6</v>
      </c>
      <c r="W12" s="50">
        <v>12.6</v>
      </c>
      <c r="X12" s="50">
        <v>12.6</v>
      </c>
      <c r="Y12" s="50">
        <v>14.1</v>
      </c>
      <c r="Z12" s="50">
        <v>14.1</v>
      </c>
      <c r="AA12" s="50">
        <v>14.1</v>
      </c>
      <c r="AB12" s="50">
        <v>14.1</v>
      </c>
      <c r="AC12" s="50">
        <v>14.1</v>
      </c>
      <c r="AD12" s="50">
        <v>14.1</v>
      </c>
      <c r="AE12" s="50">
        <v>14.1</v>
      </c>
      <c r="AF12" s="50">
        <v>14.1</v>
      </c>
      <c r="AG12" s="51">
        <v>52.4</v>
      </c>
      <c r="AH12" s="52">
        <f t="shared" si="2"/>
        <v>14.1</v>
      </c>
      <c r="AI12" s="53">
        <f t="shared" si="3"/>
        <v>12.6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33.6</v>
      </c>
      <c r="C13" s="50">
        <v>33.5</v>
      </c>
      <c r="D13" s="50">
        <v>33.700000000000003</v>
      </c>
      <c r="E13" s="50">
        <v>33.6</v>
      </c>
      <c r="F13" s="50">
        <v>33.6</v>
      </c>
      <c r="G13" s="50">
        <v>33.6</v>
      </c>
      <c r="H13" s="50">
        <v>33.6</v>
      </c>
      <c r="I13" s="50">
        <v>33.6</v>
      </c>
      <c r="J13" s="50">
        <v>33.6</v>
      </c>
      <c r="K13" s="50">
        <v>33.6</v>
      </c>
      <c r="L13" s="50">
        <v>33.6</v>
      </c>
      <c r="M13" s="50">
        <v>33.6</v>
      </c>
      <c r="N13" s="50">
        <v>33.6</v>
      </c>
      <c r="O13" s="50">
        <v>33.6</v>
      </c>
      <c r="P13" s="50">
        <v>33.6</v>
      </c>
      <c r="Q13" s="50">
        <v>33.6</v>
      </c>
      <c r="R13" s="50" t="s">
        <v>259</v>
      </c>
      <c r="S13" s="50">
        <v>33.6</v>
      </c>
      <c r="T13" s="50">
        <v>33.9</v>
      </c>
      <c r="U13" s="50">
        <v>33.9</v>
      </c>
      <c r="V13" s="50">
        <v>33.9</v>
      </c>
      <c r="W13" s="50">
        <v>33.9</v>
      </c>
      <c r="X13" s="50">
        <v>33.9</v>
      </c>
      <c r="Y13" s="50">
        <v>33.9</v>
      </c>
      <c r="Z13" s="50">
        <v>33.9</v>
      </c>
      <c r="AA13" s="50">
        <v>33.9</v>
      </c>
      <c r="AB13" s="50">
        <v>33.9</v>
      </c>
      <c r="AC13" s="50">
        <v>33.9</v>
      </c>
      <c r="AD13" s="50">
        <v>33.9</v>
      </c>
      <c r="AE13" s="50">
        <v>33.9</v>
      </c>
      <c r="AF13" s="50">
        <v>33.9</v>
      </c>
      <c r="AG13" s="55">
        <v>50</v>
      </c>
      <c r="AH13" s="52">
        <f t="shared" si="2"/>
        <v>33.9</v>
      </c>
      <c r="AI13" s="53">
        <f t="shared" si="3"/>
        <v>33.5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17.7</v>
      </c>
      <c r="C14" s="50">
        <v>18.3</v>
      </c>
      <c r="D14" s="50">
        <v>17.3</v>
      </c>
      <c r="E14" s="50">
        <v>17.399999999999999</v>
      </c>
      <c r="F14" s="50">
        <v>17.399999999999999</v>
      </c>
      <c r="G14" s="50">
        <v>17.399999999999999</v>
      </c>
      <c r="H14" s="50">
        <v>17.399999999999999</v>
      </c>
      <c r="I14" s="50">
        <v>17.399999999999999</v>
      </c>
      <c r="J14" s="50">
        <v>17.399999999999999</v>
      </c>
      <c r="K14" s="50">
        <v>17.399999999999999</v>
      </c>
      <c r="L14" s="50">
        <v>17.399999999999999</v>
      </c>
      <c r="M14" s="50">
        <v>17.399999999999999</v>
      </c>
      <c r="N14" s="50">
        <v>17.399999999999999</v>
      </c>
      <c r="O14" s="50">
        <v>17.399999999999999</v>
      </c>
      <c r="P14" s="50">
        <v>17.399999999999999</v>
      </c>
      <c r="Q14" s="50">
        <v>17.399999999999999</v>
      </c>
      <c r="R14" s="50" t="s">
        <v>260</v>
      </c>
      <c r="S14" s="50">
        <v>17.399999999999999</v>
      </c>
      <c r="T14" s="50">
        <v>16</v>
      </c>
      <c r="U14" s="50">
        <v>16</v>
      </c>
      <c r="V14" s="50">
        <v>16</v>
      </c>
      <c r="W14" s="50">
        <v>16</v>
      </c>
      <c r="X14" s="50">
        <v>16</v>
      </c>
      <c r="Y14" s="50">
        <v>16</v>
      </c>
      <c r="Z14" s="50">
        <v>16</v>
      </c>
      <c r="AA14" s="50">
        <v>16</v>
      </c>
      <c r="AB14" s="50">
        <v>16</v>
      </c>
      <c r="AC14" s="50">
        <v>16</v>
      </c>
      <c r="AD14" s="50">
        <v>16</v>
      </c>
      <c r="AE14" s="50">
        <v>16</v>
      </c>
      <c r="AF14" s="50">
        <v>16</v>
      </c>
      <c r="AG14" s="55">
        <v>45</v>
      </c>
      <c r="AH14" s="52">
        <f t="shared" si="2"/>
        <v>18.3</v>
      </c>
      <c r="AI14" s="53">
        <f t="shared" si="3"/>
        <v>16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11.5</v>
      </c>
      <c r="C15" s="50">
        <v>11.5</v>
      </c>
      <c r="D15" s="50">
        <v>11.5</v>
      </c>
      <c r="E15" s="50">
        <v>11.5</v>
      </c>
      <c r="F15" s="50">
        <v>11.5</v>
      </c>
      <c r="G15" s="50">
        <v>11.5</v>
      </c>
      <c r="H15" s="50">
        <v>11.5</v>
      </c>
      <c r="I15" s="50">
        <v>11.5</v>
      </c>
      <c r="J15" s="50">
        <v>11.5</v>
      </c>
      <c r="K15" s="50">
        <v>11.5</v>
      </c>
      <c r="L15" s="50">
        <v>11.5</v>
      </c>
      <c r="M15" s="50">
        <v>11.5</v>
      </c>
      <c r="N15" s="50">
        <v>11.5</v>
      </c>
      <c r="O15" s="50">
        <v>11.5</v>
      </c>
      <c r="P15" s="50">
        <v>11.5</v>
      </c>
      <c r="Q15" s="50">
        <v>11.5</v>
      </c>
      <c r="R15" s="50" t="s">
        <v>261</v>
      </c>
      <c r="S15" s="50">
        <v>11.5</v>
      </c>
      <c r="T15" s="50">
        <v>11</v>
      </c>
      <c r="U15" s="50">
        <v>11</v>
      </c>
      <c r="V15" s="50">
        <v>11</v>
      </c>
      <c r="W15" s="50">
        <v>11</v>
      </c>
      <c r="X15" s="50">
        <v>11</v>
      </c>
      <c r="Y15" s="50">
        <v>11</v>
      </c>
      <c r="Z15" s="50">
        <v>11</v>
      </c>
      <c r="AA15" s="50">
        <v>11</v>
      </c>
      <c r="AB15" s="50">
        <v>11</v>
      </c>
      <c r="AC15" s="50">
        <v>11</v>
      </c>
      <c r="AD15" s="50">
        <v>11</v>
      </c>
      <c r="AE15" s="50">
        <v>11</v>
      </c>
      <c r="AF15" s="50">
        <v>11</v>
      </c>
      <c r="AG15" s="55">
        <v>42</v>
      </c>
      <c r="AH15" s="52">
        <f t="shared" si="2"/>
        <v>11.5</v>
      </c>
      <c r="AI15" s="53">
        <f t="shared" si="3"/>
        <v>11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11.5</v>
      </c>
      <c r="C16" s="50">
        <v>11.5</v>
      </c>
      <c r="D16" s="50">
        <v>11.5</v>
      </c>
      <c r="E16" s="50">
        <v>11.5</v>
      </c>
      <c r="F16" s="50">
        <v>11.5</v>
      </c>
      <c r="G16" s="50">
        <v>11.5</v>
      </c>
      <c r="H16" s="50">
        <v>11.5</v>
      </c>
      <c r="I16" s="50">
        <v>11.5</v>
      </c>
      <c r="J16" s="50">
        <v>11.5</v>
      </c>
      <c r="K16" s="50">
        <v>11.5</v>
      </c>
      <c r="L16" s="50">
        <v>11.5</v>
      </c>
      <c r="M16" s="50">
        <v>11.5</v>
      </c>
      <c r="N16" s="50">
        <v>11.5</v>
      </c>
      <c r="O16" s="50">
        <v>11.5</v>
      </c>
      <c r="P16" s="50">
        <v>11.5</v>
      </c>
      <c r="Q16" s="50">
        <v>11.5</v>
      </c>
      <c r="R16" s="50" t="s">
        <v>258</v>
      </c>
      <c r="S16" s="50">
        <v>11.5</v>
      </c>
      <c r="T16" s="50">
        <v>11</v>
      </c>
      <c r="U16" s="50">
        <v>11</v>
      </c>
      <c r="V16" s="50">
        <v>11</v>
      </c>
      <c r="W16" s="50">
        <v>11</v>
      </c>
      <c r="X16" s="50">
        <v>11</v>
      </c>
      <c r="Y16" s="50">
        <v>11</v>
      </c>
      <c r="Z16" s="50">
        <v>11</v>
      </c>
      <c r="AA16" s="50">
        <v>11</v>
      </c>
      <c r="AB16" s="50">
        <v>11</v>
      </c>
      <c r="AC16" s="50">
        <v>11</v>
      </c>
      <c r="AD16" s="50">
        <v>11</v>
      </c>
      <c r="AE16" s="50">
        <v>11</v>
      </c>
      <c r="AF16" s="50">
        <v>11</v>
      </c>
      <c r="AG16" s="55">
        <v>36</v>
      </c>
      <c r="AH16" s="52">
        <f t="shared" si="2"/>
        <v>11.5</v>
      </c>
      <c r="AI16" s="53">
        <f t="shared" si="3"/>
        <v>11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 t="s">
        <v>262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10.9</v>
      </c>
      <c r="C18" s="50">
        <v>10.9</v>
      </c>
      <c r="D18" s="50">
        <v>11</v>
      </c>
      <c r="E18" s="50">
        <v>10.5</v>
      </c>
      <c r="F18" s="50">
        <v>10.5</v>
      </c>
      <c r="G18" s="50">
        <v>10.5</v>
      </c>
      <c r="H18" s="50">
        <v>10.5</v>
      </c>
      <c r="I18" s="50">
        <v>10.5</v>
      </c>
      <c r="J18" s="50">
        <v>10.5</v>
      </c>
      <c r="K18" s="50">
        <v>10.5</v>
      </c>
      <c r="L18" s="50">
        <v>10.5</v>
      </c>
      <c r="M18" s="50">
        <v>10.5</v>
      </c>
      <c r="N18" s="50">
        <v>10.5</v>
      </c>
      <c r="O18" s="50">
        <v>10.5</v>
      </c>
      <c r="P18" s="50">
        <v>10.5</v>
      </c>
      <c r="Q18" s="50">
        <v>10.5</v>
      </c>
      <c r="R18" s="50"/>
      <c r="S18" s="50">
        <v>10.5</v>
      </c>
      <c r="T18" s="50">
        <v>10</v>
      </c>
      <c r="U18" s="50">
        <v>10</v>
      </c>
      <c r="V18" s="50">
        <v>10</v>
      </c>
      <c r="W18" s="50">
        <v>10</v>
      </c>
      <c r="X18" s="50">
        <v>10</v>
      </c>
      <c r="Y18" s="50">
        <v>10</v>
      </c>
      <c r="Z18" s="50">
        <v>10</v>
      </c>
      <c r="AA18" s="50">
        <v>10</v>
      </c>
      <c r="AB18" s="50">
        <v>10</v>
      </c>
      <c r="AC18" s="50">
        <v>10</v>
      </c>
      <c r="AD18" s="50">
        <v>10</v>
      </c>
      <c r="AE18" s="50">
        <v>10</v>
      </c>
      <c r="AF18" s="50">
        <v>10</v>
      </c>
      <c r="AG18" s="56">
        <v>30</v>
      </c>
      <c r="AH18" s="52">
        <f t="shared" si="2"/>
        <v>11</v>
      </c>
      <c r="AI18" s="53">
        <f t="shared" si="3"/>
        <v>10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6.6</v>
      </c>
      <c r="C19" s="50">
        <v>6.6</v>
      </c>
      <c r="D19" s="50">
        <v>6.6</v>
      </c>
      <c r="E19" s="50">
        <v>7.2</v>
      </c>
      <c r="F19" s="50">
        <v>7.2</v>
      </c>
      <c r="G19" s="50">
        <v>7.2</v>
      </c>
      <c r="H19" s="50">
        <v>7.2</v>
      </c>
      <c r="I19" s="50">
        <v>7.2</v>
      </c>
      <c r="J19" s="50">
        <v>7.2</v>
      </c>
      <c r="K19" s="50">
        <v>7.2</v>
      </c>
      <c r="L19" s="50">
        <v>7.2</v>
      </c>
      <c r="M19" s="50">
        <v>7.2</v>
      </c>
      <c r="N19" s="50">
        <v>7.2</v>
      </c>
      <c r="O19" s="50">
        <v>7.2</v>
      </c>
      <c r="P19" s="50">
        <v>7.2</v>
      </c>
      <c r="Q19" s="50">
        <v>7.2</v>
      </c>
      <c r="R19" s="50" t="s">
        <v>263</v>
      </c>
      <c r="S19" s="50">
        <v>7.2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6.6</v>
      </c>
      <c r="AA19" s="50">
        <v>6.6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7.2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9</v>
      </c>
      <c r="C20" s="50">
        <v>9</v>
      </c>
      <c r="D20" s="50">
        <v>9</v>
      </c>
      <c r="E20" s="50">
        <v>9</v>
      </c>
      <c r="F20" s="50">
        <v>9</v>
      </c>
      <c r="G20" s="50">
        <v>9</v>
      </c>
      <c r="H20" s="50">
        <v>9</v>
      </c>
      <c r="I20" s="50">
        <v>9</v>
      </c>
      <c r="J20" s="50">
        <v>9</v>
      </c>
      <c r="K20" s="50">
        <v>9</v>
      </c>
      <c r="L20" s="50">
        <v>9</v>
      </c>
      <c r="M20" s="50">
        <v>9</v>
      </c>
      <c r="N20" s="50">
        <v>9</v>
      </c>
      <c r="O20" s="50">
        <v>9</v>
      </c>
      <c r="P20" s="50">
        <v>9</v>
      </c>
      <c r="Q20" s="50">
        <v>9</v>
      </c>
      <c r="R20" s="50" t="s">
        <v>264</v>
      </c>
      <c r="S20" s="50">
        <v>9</v>
      </c>
      <c r="T20" s="50">
        <v>9</v>
      </c>
      <c r="U20" s="50">
        <v>9</v>
      </c>
      <c r="V20" s="50">
        <v>9</v>
      </c>
      <c r="W20" s="50">
        <v>9</v>
      </c>
      <c r="X20" s="50">
        <v>9</v>
      </c>
      <c r="Y20" s="50">
        <v>9</v>
      </c>
      <c r="Z20" s="50">
        <v>9</v>
      </c>
      <c r="AA20" s="50">
        <v>9</v>
      </c>
      <c r="AB20" s="50">
        <v>9</v>
      </c>
      <c r="AC20" s="50">
        <v>9</v>
      </c>
      <c r="AD20" s="50">
        <v>9</v>
      </c>
      <c r="AE20" s="50">
        <v>9</v>
      </c>
      <c r="AF20" s="50">
        <v>9</v>
      </c>
      <c r="AG20" s="55">
        <v>28</v>
      </c>
      <c r="AH20" s="52">
        <f t="shared" si="2"/>
        <v>9</v>
      </c>
      <c r="AI20" s="53">
        <f t="shared" si="3"/>
        <v>9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6.4</v>
      </c>
      <c r="C21" s="50">
        <v>6.4</v>
      </c>
      <c r="D21" s="50">
        <v>6.4</v>
      </c>
      <c r="E21" s="50">
        <v>6.4</v>
      </c>
      <c r="F21" s="50">
        <v>6.4</v>
      </c>
      <c r="G21" s="50">
        <v>6.4</v>
      </c>
      <c r="H21" s="50">
        <v>6.4</v>
      </c>
      <c r="I21" s="50">
        <v>6.4</v>
      </c>
      <c r="J21" s="50">
        <v>6.4</v>
      </c>
      <c r="K21" s="50">
        <v>6.4</v>
      </c>
      <c r="L21" s="50">
        <v>6.4</v>
      </c>
      <c r="M21" s="50">
        <v>6.4</v>
      </c>
      <c r="N21" s="50">
        <v>6.4</v>
      </c>
      <c r="O21" s="50">
        <v>6.4</v>
      </c>
      <c r="P21" s="50">
        <v>6.4</v>
      </c>
      <c r="Q21" s="50">
        <v>6.4</v>
      </c>
      <c r="R21" s="50" t="s">
        <v>263</v>
      </c>
      <c r="S21" s="50">
        <v>6.4</v>
      </c>
      <c r="T21" s="50">
        <v>6.5</v>
      </c>
      <c r="U21" s="50">
        <v>6.5</v>
      </c>
      <c r="V21" s="50">
        <v>6.5</v>
      </c>
      <c r="W21" s="50">
        <v>6.5</v>
      </c>
      <c r="X21" s="50">
        <v>6.5</v>
      </c>
      <c r="Y21" s="50">
        <v>6.5</v>
      </c>
      <c r="Z21" s="50">
        <v>6.5</v>
      </c>
      <c r="AA21" s="50">
        <v>6.5</v>
      </c>
      <c r="AB21" s="50">
        <v>6.5</v>
      </c>
      <c r="AC21" s="50">
        <v>6.5</v>
      </c>
      <c r="AD21" s="50">
        <v>6.5</v>
      </c>
      <c r="AE21" s="50">
        <v>6.5</v>
      </c>
      <c r="AF21" s="50">
        <v>6.5</v>
      </c>
      <c r="AG21" s="56">
        <v>30</v>
      </c>
      <c r="AH21" s="52">
        <f t="shared" si="2"/>
        <v>6.5</v>
      </c>
      <c r="AI21" s="53">
        <f t="shared" si="3"/>
        <v>6.4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8.9</v>
      </c>
      <c r="C22" s="50">
        <v>9.5</v>
      </c>
      <c r="D22" s="50">
        <v>10</v>
      </c>
      <c r="E22" s="50">
        <v>10</v>
      </c>
      <c r="F22" s="50">
        <v>10</v>
      </c>
      <c r="G22" s="50">
        <v>10</v>
      </c>
      <c r="H22" s="50">
        <v>10</v>
      </c>
      <c r="I22" s="50">
        <v>10</v>
      </c>
      <c r="J22" s="50">
        <v>10</v>
      </c>
      <c r="K22" s="50">
        <v>10</v>
      </c>
      <c r="L22" s="50">
        <v>10</v>
      </c>
      <c r="M22" s="50">
        <v>10</v>
      </c>
      <c r="N22" s="50">
        <v>10</v>
      </c>
      <c r="O22" s="50">
        <v>10</v>
      </c>
      <c r="P22" s="50">
        <v>10</v>
      </c>
      <c r="Q22" s="50">
        <v>10</v>
      </c>
      <c r="R22" s="50" t="s">
        <v>260</v>
      </c>
      <c r="S22" s="50">
        <v>10</v>
      </c>
      <c r="T22" s="50">
        <v>10</v>
      </c>
      <c r="U22" s="50">
        <v>10</v>
      </c>
      <c r="V22" s="50">
        <v>10</v>
      </c>
      <c r="W22" s="50">
        <v>10</v>
      </c>
      <c r="X22" s="50">
        <v>10</v>
      </c>
      <c r="Y22" s="50">
        <v>10</v>
      </c>
      <c r="Z22" s="50">
        <v>10</v>
      </c>
      <c r="AA22" s="50">
        <v>10</v>
      </c>
      <c r="AB22" s="50">
        <v>10</v>
      </c>
      <c r="AC22" s="50">
        <v>10</v>
      </c>
      <c r="AD22" s="50">
        <v>10</v>
      </c>
      <c r="AE22" s="50">
        <v>10</v>
      </c>
      <c r="AF22" s="50">
        <v>10</v>
      </c>
      <c r="AG22" s="55">
        <v>25</v>
      </c>
      <c r="AH22" s="52">
        <f t="shared" si="2"/>
        <v>10</v>
      </c>
      <c r="AI22" s="53">
        <f t="shared" si="3"/>
        <v>8.9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 t="s">
        <v>265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5">
        <v>25</v>
      </c>
      <c r="AH23" s="52">
        <f t="shared" si="2"/>
        <v>9</v>
      </c>
      <c r="AI23" s="53">
        <f t="shared" si="3"/>
        <v>9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 t="s">
        <v>266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/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5.6</v>
      </c>
      <c r="C26" s="50">
        <v>5.7</v>
      </c>
      <c r="D26" s="50">
        <v>5.7</v>
      </c>
      <c r="E26" s="50">
        <v>5.7</v>
      </c>
      <c r="F26" s="50">
        <v>5.7</v>
      </c>
      <c r="G26" s="50">
        <v>5.7</v>
      </c>
      <c r="H26" s="50">
        <v>5.7</v>
      </c>
      <c r="I26" s="50">
        <v>5.7</v>
      </c>
      <c r="J26" s="50">
        <v>5.7</v>
      </c>
      <c r="K26" s="50">
        <v>5.7</v>
      </c>
      <c r="L26" s="50">
        <v>5.7</v>
      </c>
      <c r="M26" s="50">
        <v>5.7</v>
      </c>
      <c r="N26" s="50">
        <v>5.7</v>
      </c>
      <c r="O26" s="50">
        <v>5.7</v>
      </c>
      <c r="P26" s="50">
        <v>5.7</v>
      </c>
      <c r="Q26" s="50">
        <v>5.7</v>
      </c>
      <c r="R26" s="50" t="s">
        <v>267</v>
      </c>
      <c r="S26" s="50">
        <v>5.7</v>
      </c>
      <c r="T26" s="50">
        <v>5.7</v>
      </c>
      <c r="U26" s="50">
        <v>5.7</v>
      </c>
      <c r="V26" s="50">
        <v>5.7</v>
      </c>
      <c r="W26" s="50">
        <v>5.7</v>
      </c>
      <c r="X26" s="50">
        <v>5.7</v>
      </c>
      <c r="Y26" s="50">
        <v>5.7</v>
      </c>
      <c r="Z26" s="50">
        <v>5.7</v>
      </c>
      <c r="AA26" s="50">
        <v>5.7</v>
      </c>
      <c r="AB26" s="50">
        <v>5.7</v>
      </c>
      <c r="AC26" s="50">
        <v>5.7</v>
      </c>
      <c r="AD26" s="50">
        <v>5.7</v>
      </c>
      <c r="AE26" s="50">
        <v>5.7</v>
      </c>
      <c r="AF26" s="50">
        <v>5.7</v>
      </c>
      <c r="AG26" s="55">
        <v>23.5</v>
      </c>
      <c r="AH26" s="52">
        <f t="shared" si="2"/>
        <v>5.7</v>
      </c>
      <c r="AI26" s="53">
        <f t="shared" si="3"/>
        <v>5.6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 t="s">
        <v>268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 t="s">
        <v>262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 t="s">
        <v>262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5">
        <v>22</v>
      </c>
      <c r="AH29" s="52">
        <f t="shared" si="2"/>
        <v>4</v>
      </c>
      <c r="AI29" s="53">
        <f t="shared" si="3"/>
        <v>4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10</v>
      </c>
      <c r="C30" s="50">
        <v>10</v>
      </c>
      <c r="D30" s="50">
        <v>10</v>
      </c>
      <c r="E30" s="50">
        <v>10</v>
      </c>
      <c r="F30" s="50">
        <v>10</v>
      </c>
      <c r="G30" s="50">
        <v>10</v>
      </c>
      <c r="H30" s="50">
        <v>10</v>
      </c>
      <c r="I30" s="50">
        <v>10</v>
      </c>
      <c r="J30" s="50">
        <v>10</v>
      </c>
      <c r="K30" s="50">
        <v>10</v>
      </c>
      <c r="L30" s="50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 t="s">
        <v>258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5">
        <v>22</v>
      </c>
      <c r="AH30" s="52">
        <f t="shared" si="2"/>
        <v>10</v>
      </c>
      <c r="AI30" s="53">
        <f t="shared" si="3"/>
        <v>10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 t="s">
        <v>257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55">
        <v>20</v>
      </c>
      <c r="AH31" s="52">
        <f t="shared" si="2"/>
        <v>6</v>
      </c>
      <c r="AI31" s="53">
        <f t="shared" si="3"/>
        <v>6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 t="s">
        <v>263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 t="s">
        <v>265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/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/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/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/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5.2</v>
      </c>
      <c r="C38" s="50">
        <v>5.2</v>
      </c>
      <c r="D38" s="50">
        <v>5.2</v>
      </c>
      <c r="E38" s="50">
        <v>5.2</v>
      </c>
      <c r="F38" s="50">
        <v>5.2</v>
      </c>
      <c r="G38" s="50">
        <v>5.2</v>
      </c>
      <c r="H38" s="50">
        <v>5.2</v>
      </c>
      <c r="I38" s="50">
        <v>5.2</v>
      </c>
      <c r="J38" s="50">
        <v>5.2</v>
      </c>
      <c r="K38" s="50">
        <v>5.2</v>
      </c>
      <c r="L38" s="50">
        <v>5.2</v>
      </c>
      <c r="M38" s="50">
        <v>5.2</v>
      </c>
      <c r="N38" s="50">
        <v>5.2</v>
      </c>
      <c r="O38" s="50">
        <v>5.2</v>
      </c>
      <c r="P38" s="50">
        <v>5.2</v>
      </c>
      <c r="Q38" s="50">
        <v>5.2</v>
      </c>
      <c r="R38" s="50"/>
      <c r="S38" s="50">
        <v>5.2</v>
      </c>
      <c r="T38" s="50">
        <v>5.2</v>
      </c>
      <c r="U38" s="50">
        <v>5.2</v>
      </c>
      <c r="V38" s="50">
        <v>5.2</v>
      </c>
      <c r="W38" s="50">
        <v>5.2</v>
      </c>
      <c r="X38" s="50">
        <v>5.2</v>
      </c>
      <c r="Y38" s="50">
        <v>5.2</v>
      </c>
      <c r="Z38" s="50">
        <v>5.2</v>
      </c>
      <c r="AA38" s="50">
        <v>5.2</v>
      </c>
      <c r="AB38" s="50">
        <v>5.2</v>
      </c>
      <c r="AC38" s="50">
        <v>5.2</v>
      </c>
      <c r="AD38" s="50">
        <v>5.2</v>
      </c>
      <c r="AE38" s="50">
        <v>5.2</v>
      </c>
      <c r="AF38" s="50">
        <v>5.2</v>
      </c>
      <c r="AG38" s="55">
        <v>12</v>
      </c>
      <c r="AH38" s="52">
        <f t="shared" si="2"/>
        <v>5.2</v>
      </c>
      <c r="AI38" s="53">
        <f t="shared" si="3"/>
        <v>5.2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/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/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/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/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/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50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3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/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/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120</v>
      </c>
      <c r="C46" s="63">
        <v>120</v>
      </c>
      <c r="D46" s="63">
        <v>120</v>
      </c>
      <c r="E46" s="63">
        <v>120</v>
      </c>
      <c r="F46" s="63">
        <v>120</v>
      </c>
      <c r="G46" s="63">
        <v>120</v>
      </c>
      <c r="H46" s="63">
        <v>120</v>
      </c>
      <c r="I46" s="63">
        <v>120</v>
      </c>
      <c r="J46" s="63">
        <v>120</v>
      </c>
      <c r="K46" s="63">
        <v>120</v>
      </c>
      <c r="L46" s="63">
        <v>120</v>
      </c>
      <c r="M46" s="63">
        <v>120</v>
      </c>
      <c r="N46" s="63">
        <v>120</v>
      </c>
      <c r="O46" s="63">
        <v>120</v>
      </c>
      <c r="P46" s="63">
        <v>120</v>
      </c>
      <c r="Q46" s="63">
        <v>120</v>
      </c>
      <c r="R46" s="63"/>
      <c r="S46" s="63">
        <v>120</v>
      </c>
      <c r="T46" s="63">
        <v>120</v>
      </c>
      <c r="U46" s="63">
        <v>120</v>
      </c>
      <c r="V46" s="63">
        <v>120</v>
      </c>
      <c r="W46" s="63">
        <v>120</v>
      </c>
      <c r="X46" s="63">
        <v>120</v>
      </c>
      <c r="Y46" s="63">
        <v>120</v>
      </c>
      <c r="Z46" s="63">
        <v>120</v>
      </c>
      <c r="AA46" s="63">
        <v>120</v>
      </c>
      <c r="AB46" s="63">
        <v>120</v>
      </c>
      <c r="AC46" s="63">
        <v>120</v>
      </c>
      <c r="AD46" s="63">
        <v>120</v>
      </c>
      <c r="AE46" s="63">
        <v>120</v>
      </c>
      <c r="AF46" s="63">
        <v>120</v>
      </c>
      <c r="AG46" s="61">
        <v>85</v>
      </c>
      <c r="AH46" s="52">
        <f t="shared" si="2"/>
        <v>120</v>
      </c>
      <c r="AI46" s="53">
        <f t="shared" si="3"/>
        <v>120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>SUM(B12:B46)</f>
        <v>362.79999999999995</v>
      </c>
      <c r="C48" s="67">
        <f t="shared" ref="C48:AG48" si="4">SUM(C12:C46)</f>
        <v>363</v>
      </c>
      <c r="D48" s="67">
        <f t="shared" si="4"/>
        <v>362.9</v>
      </c>
      <c r="E48" s="67">
        <f t="shared" si="4"/>
        <v>362.9</v>
      </c>
      <c r="F48" s="67">
        <f t="shared" si="4"/>
        <v>362.9</v>
      </c>
      <c r="G48" s="67">
        <f t="shared" si="4"/>
        <v>362.9</v>
      </c>
      <c r="H48" s="67">
        <f t="shared" si="4"/>
        <v>362.9</v>
      </c>
      <c r="I48" s="67">
        <f t="shared" si="4"/>
        <v>362.9</v>
      </c>
      <c r="J48" s="67">
        <f t="shared" si="4"/>
        <v>362.9</v>
      </c>
      <c r="K48" s="67">
        <f t="shared" si="4"/>
        <v>362.9</v>
      </c>
      <c r="L48" s="67">
        <f t="shared" si="4"/>
        <v>362.9</v>
      </c>
      <c r="M48" s="67">
        <f t="shared" si="4"/>
        <v>362.9</v>
      </c>
      <c r="N48" s="67">
        <f t="shared" si="4"/>
        <v>362.9</v>
      </c>
      <c r="O48" s="67">
        <f t="shared" si="4"/>
        <v>362.9</v>
      </c>
      <c r="P48" s="67">
        <f t="shared" si="4"/>
        <v>362.9</v>
      </c>
      <c r="Q48" s="67">
        <f t="shared" si="4"/>
        <v>362.9</v>
      </c>
      <c r="R48" s="67">
        <f t="shared" si="4"/>
        <v>0</v>
      </c>
      <c r="S48" s="67">
        <f t="shared" si="4"/>
        <v>362.9</v>
      </c>
      <c r="T48" s="67">
        <f t="shared" si="4"/>
        <v>359.79999999999995</v>
      </c>
      <c r="U48" s="67">
        <f t="shared" si="4"/>
        <v>359.79999999999995</v>
      </c>
      <c r="V48" s="67">
        <f t="shared" si="4"/>
        <v>359.79999999999995</v>
      </c>
      <c r="W48" s="67">
        <f t="shared" si="4"/>
        <v>359.79999999999995</v>
      </c>
      <c r="X48" s="67">
        <f t="shared" si="4"/>
        <v>359.79999999999995</v>
      </c>
      <c r="Y48" s="67">
        <f t="shared" si="4"/>
        <v>361.29999999999995</v>
      </c>
      <c r="Z48" s="67">
        <f t="shared" si="4"/>
        <v>361.29999999999995</v>
      </c>
      <c r="AA48" s="67">
        <f t="shared" si="4"/>
        <v>361.29999999999995</v>
      </c>
      <c r="AB48" s="67">
        <f t="shared" si="4"/>
        <v>361.29999999999995</v>
      </c>
      <c r="AC48" s="67">
        <f t="shared" si="4"/>
        <v>361.29999999999995</v>
      </c>
      <c r="AD48" s="67">
        <f t="shared" si="4"/>
        <v>361.29999999999995</v>
      </c>
      <c r="AE48" s="67">
        <f t="shared" si="4"/>
        <v>361.29999999999995</v>
      </c>
      <c r="AF48" s="67">
        <f t="shared" si="4"/>
        <v>361.29999999999995</v>
      </c>
      <c r="AG48" s="68">
        <f t="shared" si="4"/>
        <v>875.68</v>
      </c>
      <c r="AH48" s="52">
        <f t="shared" si="2"/>
        <v>363</v>
      </c>
      <c r="AI48" s="53">
        <f t="shared" si="3"/>
        <v>0</v>
      </c>
      <c r="AK48" s="54"/>
    </row>
    <row r="49" spans="1:41" x14ac:dyDescent="0.25">
      <c r="A49" s="69" t="s">
        <v>57</v>
      </c>
      <c r="B49" s="50">
        <v>100</v>
      </c>
      <c r="C49" s="50">
        <v>60</v>
      </c>
      <c r="D49" s="50">
        <v>60</v>
      </c>
      <c r="E49" s="50">
        <v>62.9</v>
      </c>
      <c r="F49" s="50">
        <v>22.9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70">
        <v>0</v>
      </c>
      <c r="N49" s="70">
        <v>0</v>
      </c>
      <c r="O49" s="70">
        <v>0</v>
      </c>
      <c r="P49" s="70">
        <v>0</v>
      </c>
      <c r="Q49" s="70">
        <v>0</v>
      </c>
      <c r="R49" s="50"/>
      <c r="S49" s="7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15</v>
      </c>
      <c r="Y49" s="50">
        <v>15</v>
      </c>
      <c r="Z49" s="50">
        <v>60</v>
      </c>
      <c r="AA49" s="50">
        <v>30</v>
      </c>
      <c r="AB49" s="50">
        <v>67</v>
      </c>
      <c r="AC49" s="50">
        <v>70</v>
      </c>
      <c r="AD49" s="50">
        <v>90</v>
      </c>
      <c r="AE49" s="50">
        <v>170</v>
      </c>
      <c r="AF49" s="50">
        <v>228</v>
      </c>
      <c r="AG49" s="56">
        <v>456</v>
      </c>
      <c r="AH49" s="52">
        <f t="shared" si="2"/>
        <v>228</v>
      </c>
      <c r="AI49" s="53">
        <f t="shared" si="3"/>
        <v>0</v>
      </c>
      <c r="AK49" s="54"/>
    </row>
    <row r="50" spans="1:41" x14ac:dyDescent="0.25">
      <c r="A50" s="71" t="s">
        <v>58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25</v>
      </c>
      <c r="O50" s="72">
        <v>25</v>
      </c>
      <c r="P50" s="72">
        <v>25</v>
      </c>
      <c r="Q50" s="72">
        <v>25</v>
      </c>
      <c r="R50" s="72"/>
      <c r="S50" s="72">
        <v>25</v>
      </c>
      <c r="T50" s="72">
        <v>25</v>
      </c>
      <c r="U50" s="72">
        <v>25</v>
      </c>
      <c r="V50" s="72">
        <v>25</v>
      </c>
      <c r="W50" s="72">
        <v>25</v>
      </c>
      <c r="X50" s="72">
        <v>25</v>
      </c>
      <c r="Y50" s="72">
        <v>25</v>
      </c>
      <c r="Z50" s="72">
        <v>25</v>
      </c>
      <c r="AA50" s="72">
        <v>25</v>
      </c>
      <c r="AB50" s="72">
        <v>25</v>
      </c>
      <c r="AC50" s="72">
        <v>25</v>
      </c>
      <c r="AD50" s="72">
        <v>25</v>
      </c>
      <c r="AE50" s="72">
        <v>25</v>
      </c>
      <c r="AF50" s="72">
        <v>25</v>
      </c>
      <c r="AG50" s="61">
        <v>60</v>
      </c>
      <c r="AH50" s="52">
        <f t="shared" si="2"/>
        <v>25</v>
      </c>
      <c r="AI50" s="53">
        <f t="shared" si="3"/>
        <v>25</v>
      </c>
      <c r="AK50" s="54"/>
    </row>
    <row r="51" spans="1:41" ht="15.75" thickBot="1" x14ac:dyDescent="0.3">
      <c r="A51" s="73" t="s">
        <v>59</v>
      </c>
      <c r="B51" s="74">
        <v>11.4</v>
      </c>
      <c r="C51" s="74">
        <v>11.4</v>
      </c>
      <c r="D51" s="74">
        <v>11.5</v>
      </c>
      <c r="E51" s="74">
        <v>11.5</v>
      </c>
      <c r="F51" s="74">
        <v>11.5</v>
      </c>
      <c r="G51" s="74">
        <v>11.5</v>
      </c>
      <c r="H51" s="74">
        <v>11.5</v>
      </c>
      <c r="I51" s="74">
        <v>11.5</v>
      </c>
      <c r="J51" s="74">
        <v>11.5</v>
      </c>
      <c r="K51" s="74">
        <v>11.5</v>
      </c>
      <c r="L51" s="74">
        <v>11.5</v>
      </c>
      <c r="M51" s="74">
        <v>11.4</v>
      </c>
      <c r="N51" s="74">
        <v>11.4</v>
      </c>
      <c r="O51" s="74">
        <v>11.4</v>
      </c>
      <c r="P51" s="74">
        <v>11.4</v>
      </c>
      <c r="Q51" s="74">
        <v>11.4</v>
      </c>
      <c r="R51" s="74"/>
      <c r="S51" s="74">
        <v>11.4</v>
      </c>
      <c r="T51" s="74">
        <v>13.3</v>
      </c>
      <c r="U51" s="74">
        <v>13.2</v>
      </c>
      <c r="V51" s="74">
        <v>13.2</v>
      </c>
      <c r="W51" s="74">
        <v>13.3</v>
      </c>
      <c r="X51" s="74">
        <v>13.3</v>
      </c>
      <c r="Y51" s="74">
        <v>13.3</v>
      </c>
      <c r="Z51" s="74">
        <v>13.3</v>
      </c>
      <c r="AA51" s="74">
        <v>13.2</v>
      </c>
      <c r="AB51" s="74">
        <v>13.2</v>
      </c>
      <c r="AC51" s="74">
        <v>13.2</v>
      </c>
      <c r="AD51" s="74">
        <v>13.2</v>
      </c>
      <c r="AE51" s="74">
        <v>13.2</v>
      </c>
      <c r="AF51" s="74">
        <v>13.2</v>
      </c>
      <c r="AG51" s="75">
        <v>22.1</v>
      </c>
      <c r="AH51" s="52">
        <f t="shared" si="2"/>
        <v>13.3</v>
      </c>
      <c r="AI51" s="53">
        <f t="shared" si="3"/>
        <v>11.4</v>
      </c>
      <c r="AK51" s="54"/>
    </row>
    <row r="52" spans="1:41" ht="15.75" thickBot="1" x14ac:dyDescent="0.3">
      <c r="A52" s="76" t="s">
        <v>60</v>
      </c>
      <c r="B52" s="67">
        <f>SUM(B49:B51)</f>
        <v>136.4</v>
      </c>
      <c r="C52" s="67">
        <f t="shared" ref="C52:AG52" si="5">SUM(C49:C51)</f>
        <v>96.4</v>
      </c>
      <c r="D52" s="67">
        <f t="shared" si="5"/>
        <v>96.5</v>
      </c>
      <c r="E52" s="67">
        <f t="shared" si="5"/>
        <v>99.4</v>
      </c>
      <c r="F52" s="67">
        <f t="shared" si="5"/>
        <v>59.4</v>
      </c>
      <c r="G52" s="67">
        <f t="shared" si="5"/>
        <v>36.5</v>
      </c>
      <c r="H52" s="67">
        <f t="shared" si="5"/>
        <v>36.5</v>
      </c>
      <c r="I52" s="67">
        <f t="shared" si="5"/>
        <v>36.5</v>
      </c>
      <c r="J52" s="67">
        <f t="shared" si="5"/>
        <v>36.5</v>
      </c>
      <c r="K52" s="67">
        <f t="shared" si="5"/>
        <v>36.5</v>
      </c>
      <c r="L52" s="67">
        <f t="shared" si="5"/>
        <v>36.5</v>
      </c>
      <c r="M52" s="67">
        <f t="shared" si="5"/>
        <v>36.4</v>
      </c>
      <c r="N52" s="67">
        <f t="shared" si="5"/>
        <v>36.4</v>
      </c>
      <c r="O52" s="67">
        <f t="shared" si="5"/>
        <v>36.4</v>
      </c>
      <c r="P52" s="67">
        <f t="shared" si="5"/>
        <v>36.4</v>
      </c>
      <c r="Q52" s="67">
        <f t="shared" si="5"/>
        <v>36.4</v>
      </c>
      <c r="R52" s="67">
        <f t="shared" si="5"/>
        <v>0</v>
      </c>
      <c r="S52" s="67">
        <f t="shared" si="5"/>
        <v>36.4</v>
      </c>
      <c r="T52" s="67">
        <f t="shared" si="5"/>
        <v>38.299999999999997</v>
      </c>
      <c r="U52" s="67">
        <f t="shared" si="5"/>
        <v>38.200000000000003</v>
      </c>
      <c r="V52" s="67">
        <f t="shared" si="5"/>
        <v>38.200000000000003</v>
      </c>
      <c r="W52" s="67">
        <f t="shared" si="5"/>
        <v>38.299999999999997</v>
      </c>
      <c r="X52" s="67">
        <f t="shared" si="5"/>
        <v>53.3</v>
      </c>
      <c r="Y52" s="67">
        <f t="shared" si="5"/>
        <v>53.3</v>
      </c>
      <c r="Z52" s="67">
        <v>98.3</v>
      </c>
      <c r="AA52" s="67">
        <f t="shared" si="5"/>
        <v>68.2</v>
      </c>
      <c r="AB52" s="67">
        <f t="shared" si="5"/>
        <v>105.2</v>
      </c>
      <c r="AC52" s="67">
        <f t="shared" si="5"/>
        <v>108.2</v>
      </c>
      <c r="AD52" s="67">
        <f t="shared" si="5"/>
        <v>128.19999999999999</v>
      </c>
      <c r="AE52" s="67">
        <f t="shared" si="5"/>
        <v>208.2</v>
      </c>
      <c r="AF52" s="67">
        <f t="shared" si="5"/>
        <v>266.2</v>
      </c>
      <c r="AG52" s="68">
        <f t="shared" si="5"/>
        <v>538.1</v>
      </c>
      <c r="AH52" s="52">
        <f t="shared" si="2"/>
        <v>266.2</v>
      </c>
      <c r="AI52" s="53">
        <f t="shared" si="3"/>
        <v>0</v>
      </c>
      <c r="AK52" s="54"/>
    </row>
    <row r="53" spans="1:41" x14ac:dyDescent="0.25">
      <c r="A53" s="49" t="s">
        <v>61</v>
      </c>
      <c r="B53" s="50">
        <v>61.2</v>
      </c>
      <c r="C53" s="50">
        <v>61.7</v>
      </c>
      <c r="D53" s="50">
        <v>61.6</v>
      </c>
      <c r="E53" s="50">
        <v>30.6</v>
      </c>
      <c r="F53" s="50">
        <v>22.5</v>
      </c>
      <c r="G53" s="50">
        <v>28.6</v>
      </c>
      <c r="H53" s="50">
        <v>28.8</v>
      </c>
      <c r="I53" s="50">
        <v>42</v>
      </c>
      <c r="J53" s="50">
        <v>22.8</v>
      </c>
      <c r="K53" s="50">
        <v>29.4</v>
      </c>
      <c r="L53" s="50">
        <v>30.6</v>
      </c>
      <c r="M53" s="50">
        <v>30.6</v>
      </c>
      <c r="N53" s="50">
        <v>30.6</v>
      </c>
      <c r="O53" s="50">
        <v>133.30000000000001</v>
      </c>
      <c r="P53" s="50">
        <v>97.4</v>
      </c>
      <c r="Q53" s="50">
        <v>97.3</v>
      </c>
      <c r="R53" s="50"/>
      <c r="S53" s="50">
        <v>97.3</v>
      </c>
      <c r="T53" s="50">
        <v>97.6</v>
      </c>
      <c r="U53" s="50">
        <v>97.6</v>
      </c>
      <c r="V53" s="50">
        <v>97.3</v>
      </c>
      <c r="W53" s="50">
        <v>97.5</v>
      </c>
      <c r="X53" s="50">
        <v>97.5</v>
      </c>
      <c r="Y53" s="50">
        <v>97.5</v>
      </c>
      <c r="Z53" s="50">
        <v>97.8</v>
      </c>
      <c r="AA53" s="50">
        <v>97.8</v>
      </c>
      <c r="AB53" s="50">
        <v>97.8</v>
      </c>
      <c r="AC53" s="50">
        <v>71</v>
      </c>
      <c r="AD53" s="50">
        <v>61.1</v>
      </c>
      <c r="AE53" s="50">
        <v>91.4</v>
      </c>
      <c r="AF53" s="50">
        <v>71.400000000000006</v>
      </c>
      <c r="AG53" s="56">
        <v>144</v>
      </c>
      <c r="AH53" s="52">
        <f t="shared" si="2"/>
        <v>133.30000000000001</v>
      </c>
      <c r="AI53" s="53">
        <f t="shared" si="3"/>
        <v>22.5</v>
      </c>
      <c r="AK53" s="54"/>
    </row>
    <row r="54" spans="1:41" x14ac:dyDescent="0.25">
      <c r="A54" s="60" t="s">
        <v>62</v>
      </c>
      <c r="B54" s="72">
        <v>44.3</v>
      </c>
      <c r="C54" s="72">
        <v>45.7</v>
      </c>
      <c r="D54" s="72">
        <v>34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22</v>
      </c>
      <c r="N54" s="72">
        <v>22</v>
      </c>
      <c r="O54" s="72">
        <v>22</v>
      </c>
      <c r="P54" s="72">
        <v>46.5</v>
      </c>
      <c r="Q54" s="72">
        <v>45.2</v>
      </c>
      <c r="R54" s="50"/>
      <c r="S54" s="50">
        <v>45.2</v>
      </c>
      <c r="T54" s="50">
        <v>46.3</v>
      </c>
      <c r="U54" s="50">
        <v>56.3</v>
      </c>
      <c r="V54" s="50">
        <v>33.1</v>
      </c>
      <c r="W54" s="50">
        <v>32.9</v>
      </c>
      <c r="X54" s="50">
        <v>25</v>
      </c>
      <c r="Y54" s="50">
        <v>25</v>
      </c>
      <c r="Z54" s="50">
        <v>64.599999999999994</v>
      </c>
      <c r="AA54" s="50">
        <v>65.5</v>
      </c>
      <c r="AB54" s="50">
        <v>65.5</v>
      </c>
      <c r="AC54" s="50">
        <v>64</v>
      </c>
      <c r="AD54" s="50">
        <v>50.8</v>
      </c>
      <c r="AE54" s="50">
        <v>43.2</v>
      </c>
      <c r="AF54" s="50">
        <v>34.5</v>
      </c>
      <c r="AG54" s="61">
        <v>70</v>
      </c>
      <c r="AH54" s="52">
        <f t="shared" si="2"/>
        <v>65.5</v>
      </c>
      <c r="AI54" s="53">
        <f t="shared" si="3"/>
        <v>0</v>
      </c>
      <c r="AK54" s="54"/>
    </row>
    <row r="55" spans="1:41" x14ac:dyDescent="0.25">
      <c r="A55" s="60" t="s">
        <v>63</v>
      </c>
      <c r="B55" s="72">
        <v>17.7</v>
      </c>
      <c r="C55" s="72">
        <v>17.7</v>
      </c>
      <c r="D55" s="72">
        <v>16.2</v>
      </c>
      <c r="E55" s="72">
        <v>16.399999999999999</v>
      </c>
      <c r="F55" s="72">
        <v>16.5</v>
      </c>
      <c r="G55" s="72">
        <v>16.600000000000001</v>
      </c>
      <c r="H55" s="72">
        <v>47.5</v>
      </c>
      <c r="I55" s="72">
        <v>47</v>
      </c>
      <c r="J55" s="72">
        <v>33</v>
      </c>
      <c r="K55" s="72">
        <v>45</v>
      </c>
      <c r="L55" s="72">
        <v>45.8</v>
      </c>
      <c r="M55" s="72">
        <v>32.5</v>
      </c>
      <c r="N55" s="72">
        <v>32.5</v>
      </c>
      <c r="O55" s="72">
        <v>48</v>
      </c>
      <c r="P55" s="72">
        <v>50.6</v>
      </c>
      <c r="Q55" s="72">
        <v>51.6</v>
      </c>
      <c r="R55" s="50"/>
      <c r="S55" s="50">
        <v>51.6</v>
      </c>
      <c r="T55" s="50">
        <v>63.6</v>
      </c>
      <c r="U55" s="50">
        <v>65.3</v>
      </c>
      <c r="V55" s="50">
        <v>65</v>
      </c>
      <c r="W55" s="50">
        <v>15.3</v>
      </c>
      <c r="X55" s="50">
        <v>0</v>
      </c>
      <c r="Y55" s="50">
        <v>0</v>
      </c>
      <c r="Z55" s="50">
        <v>36</v>
      </c>
      <c r="AA55" s="50">
        <v>62.8</v>
      </c>
      <c r="AB55" s="50">
        <v>40.6</v>
      </c>
      <c r="AC55" s="50">
        <v>45.6</v>
      </c>
      <c r="AD55" s="50">
        <v>40.6</v>
      </c>
      <c r="AE55" s="50">
        <v>46.1</v>
      </c>
      <c r="AF55" s="50">
        <v>46.1</v>
      </c>
      <c r="AG55" s="61">
        <v>69</v>
      </c>
      <c r="AH55" s="52">
        <f t="shared" si="2"/>
        <v>65.3</v>
      </c>
      <c r="AI55" s="53">
        <f t="shared" si="3"/>
        <v>0</v>
      </c>
      <c r="AK55" s="54"/>
    </row>
    <row r="56" spans="1:41" x14ac:dyDescent="0.25">
      <c r="A56" s="60" t="s">
        <v>64</v>
      </c>
      <c r="B56" s="72">
        <v>38</v>
      </c>
      <c r="C56" s="72">
        <v>38</v>
      </c>
      <c r="D56" s="72">
        <v>38</v>
      </c>
      <c r="E56" s="72">
        <v>38</v>
      </c>
      <c r="F56" s="63">
        <v>40.1</v>
      </c>
      <c r="G56" s="63">
        <v>40.1</v>
      </c>
      <c r="H56" s="63">
        <v>40.1</v>
      </c>
      <c r="I56" s="63">
        <v>40.1</v>
      </c>
      <c r="J56" s="63">
        <v>40.1</v>
      </c>
      <c r="K56" s="63">
        <v>40</v>
      </c>
      <c r="L56" s="63">
        <v>40.1</v>
      </c>
      <c r="M56" s="72">
        <v>40.1</v>
      </c>
      <c r="N56" s="72">
        <v>40.1</v>
      </c>
      <c r="O56" s="72">
        <v>40.1</v>
      </c>
      <c r="P56" s="72">
        <v>40.1</v>
      </c>
      <c r="Q56" s="72">
        <v>40.1</v>
      </c>
      <c r="R56" s="50"/>
      <c r="S56" s="50">
        <v>40.1</v>
      </c>
      <c r="T56" s="50">
        <v>42</v>
      </c>
      <c r="U56" s="50">
        <v>35.299999999999997</v>
      </c>
      <c r="V56" s="50">
        <v>32.200000000000003</v>
      </c>
      <c r="W56" s="50">
        <v>36.299999999999997</v>
      </c>
      <c r="X56" s="50">
        <v>38</v>
      </c>
      <c r="Y56" s="50">
        <v>38</v>
      </c>
      <c r="Z56" s="50">
        <v>39.299999999999997</v>
      </c>
      <c r="AA56" s="50">
        <v>39.299999999999997</v>
      </c>
      <c r="AB56" s="50">
        <v>39.299999999999997</v>
      </c>
      <c r="AC56" s="50">
        <v>39.299999999999997</v>
      </c>
      <c r="AD56" s="50">
        <v>39.299999999999997</v>
      </c>
      <c r="AE56" s="50">
        <v>37</v>
      </c>
      <c r="AF56" s="50">
        <v>37</v>
      </c>
      <c r="AG56" s="61">
        <v>60</v>
      </c>
      <c r="AH56" s="52">
        <f t="shared" si="2"/>
        <v>42</v>
      </c>
      <c r="AI56" s="53">
        <f t="shared" si="3"/>
        <v>32.200000000000003</v>
      </c>
      <c r="AK56" s="54"/>
    </row>
    <row r="57" spans="1:41" x14ac:dyDescent="0.25">
      <c r="A57" s="60" t="s">
        <v>65</v>
      </c>
      <c r="B57" s="72">
        <v>0</v>
      </c>
      <c r="C57" s="72">
        <v>0</v>
      </c>
      <c r="D57" s="72">
        <v>0</v>
      </c>
      <c r="E57" s="72">
        <v>0</v>
      </c>
      <c r="F57" s="63">
        <v>10.199999999999999</v>
      </c>
      <c r="G57" s="63">
        <v>14.8</v>
      </c>
      <c r="H57" s="63">
        <v>14.8</v>
      </c>
      <c r="I57" s="63">
        <v>14.8</v>
      </c>
      <c r="J57" s="63">
        <v>15</v>
      </c>
      <c r="K57" s="63">
        <v>15</v>
      </c>
      <c r="L57" s="63">
        <v>15</v>
      </c>
      <c r="M57" s="72">
        <v>14.8</v>
      </c>
      <c r="N57" s="72">
        <v>14.8</v>
      </c>
      <c r="O57" s="72">
        <v>14.8</v>
      </c>
      <c r="P57" s="72">
        <v>14.8</v>
      </c>
      <c r="Q57" s="72">
        <v>14.8</v>
      </c>
      <c r="R57" s="50"/>
      <c r="S57" s="50">
        <v>14.8</v>
      </c>
      <c r="T57" s="50">
        <v>14.8</v>
      </c>
      <c r="U57" s="50">
        <v>14.6</v>
      </c>
      <c r="V57" s="50">
        <v>14.7</v>
      </c>
      <c r="W57" s="50">
        <v>10</v>
      </c>
      <c r="X57" s="50">
        <v>12</v>
      </c>
      <c r="Y57" s="50">
        <v>12</v>
      </c>
      <c r="Z57" s="50">
        <v>14</v>
      </c>
      <c r="AA57" s="50">
        <v>14</v>
      </c>
      <c r="AB57" s="50">
        <v>21.4</v>
      </c>
      <c r="AC57" s="50">
        <v>21.4</v>
      </c>
      <c r="AD57" s="50">
        <v>21.4</v>
      </c>
      <c r="AE57" s="50">
        <v>9.5</v>
      </c>
      <c r="AF57" s="50">
        <v>9.5</v>
      </c>
      <c r="AG57" s="61">
        <v>30</v>
      </c>
      <c r="AH57" s="52">
        <f t="shared" si="2"/>
        <v>21.4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50"/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0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15</v>
      </c>
      <c r="C59" s="72">
        <v>15</v>
      </c>
      <c r="D59" s="72">
        <v>15</v>
      </c>
      <c r="E59" s="72">
        <v>15</v>
      </c>
      <c r="F59" s="72">
        <v>15</v>
      </c>
      <c r="G59" s="72">
        <v>15</v>
      </c>
      <c r="H59" s="72">
        <v>15</v>
      </c>
      <c r="I59" s="72">
        <v>15</v>
      </c>
      <c r="J59" s="72">
        <v>15</v>
      </c>
      <c r="K59" s="72">
        <v>15</v>
      </c>
      <c r="L59" s="72">
        <v>15</v>
      </c>
      <c r="M59" s="72">
        <v>15.5</v>
      </c>
      <c r="N59" s="72">
        <v>15.5</v>
      </c>
      <c r="O59" s="72">
        <v>15.5</v>
      </c>
      <c r="P59" s="72">
        <v>15.5</v>
      </c>
      <c r="Q59" s="72">
        <v>15.5</v>
      </c>
      <c r="R59" s="72"/>
      <c r="S59" s="72">
        <v>12</v>
      </c>
      <c r="T59" s="72">
        <v>10</v>
      </c>
      <c r="U59" s="72">
        <v>10</v>
      </c>
      <c r="V59" s="72">
        <v>10</v>
      </c>
      <c r="W59" s="72">
        <v>10</v>
      </c>
      <c r="X59" s="72">
        <v>10</v>
      </c>
      <c r="Y59" s="72">
        <v>10</v>
      </c>
      <c r="Z59" s="72">
        <v>17</v>
      </c>
      <c r="AA59" s="72">
        <v>17</v>
      </c>
      <c r="AB59" s="72">
        <v>17</v>
      </c>
      <c r="AC59" s="72">
        <v>17</v>
      </c>
      <c r="AD59" s="72">
        <v>17</v>
      </c>
      <c r="AE59" s="72">
        <v>17</v>
      </c>
      <c r="AF59" s="72">
        <v>17</v>
      </c>
      <c r="AG59" s="61">
        <v>24</v>
      </c>
      <c r="AH59" s="52">
        <f t="shared" si="2"/>
        <v>17</v>
      </c>
      <c r="AI59" s="53">
        <f t="shared" si="3"/>
        <v>10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/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11.9</v>
      </c>
      <c r="C61" s="72">
        <v>11.9</v>
      </c>
      <c r="D61" s="72">
        <v>9.5</v>
      </c>
      <c r="E61" s="72">
        <v>9.5</v>
      </c>
      <c r="F61" s="72">
        <v>9.5</v>
      </c>
      <c r="G61" s="72">
        <v>9.5</v>
      </c>
      <c r="H61" s="72">
        <v>9.5</v>
      </c>
      <c r="I61" s="72">
        <v>9.5</v>
      </c>
      <c r="J61" s="72">
        <v>9.5</v>
      </c>
      <c r="K61" s="72">
        <v>9.5</v>
      </c>
      <c r="L61" s="72">
        <v>9.5</v>
      </c>
      <c r="M61" s="72">
        <v>11.5</v>
      </c>
      <c r="N61" s="72">
        <v>11.5</v>
      </c>
      <c r="O61" s="72">
        <v>11.5</v>
      </c>
      <c r="P61" s="72">
        <v>11.5</v>
      </c>
      <c r="Q61" s="72">
        <v>11.5</v>
      </c>
      <c r="R61" s="72"/>
      <c r="S61" s="72">
        <v>11.5</v>
      </c>
      <c r="T61" s="72">
        <v>6.4</v>
      </c>
      <c r="U61" s="72">
        <v>6.4</v>
      </c>
      <c r="V61" s="72">
        <v>6.4</v>
      </c>
      <c r="W61" s="72">
        <v>8</v>
      </c>
      <c r="X61" s="72">
        <v>8</v>
      </c>
      <c r="Y61" s="72">
        <v>8</v>
      </c>
      <c r="Z61" s="72">
        <v>10.8</v>
      </c>
      <c r="AA61" s="72">
        <v>10.8</v>
      </c>
      <c r="AB61" s="72">
        <v>10.8</v>
      </c>
      <c r="AC61" s="72">
        <v>10.8</v>
      </c>
      <c r="AD61" s="72">
        <v>12.4</v>
      </c>
      <c r="AE61" s="72">
        <v>10.7</v>
      </c>
      <c r="AF61" s="72">
        <v>10.7</v>
      </c>
      <c r="AG61" s="61">
        <v>14.1</v>
      </c>
      <c r="AH61" s="52">
        <f t="shared" si="2"/>
        <v>12.4</v>
      </c>
      <c r="AI61" s="53">
        <f t="shared" si="3"/>
        <v>6.4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4.7</v>
      </c>
      <c r="C62" s="72">
        <v>4.7</v>
      </c>
      <c r="D62" s="72">
        <v>4.8</v>
      </c>
      <c r="E62" s="72">
        <v>4.8</v>
      </c>
      <c r="F62" s="72">
        <v>4.8</v>
      </c>
      <c r="G62" s="72">
        <v>4.8</v>
      </c>
      <c r="H62" s="72">
        <v>4.8</v>
      </c>
      <c r="I62" s="72">
        <v>4.8</v>
      </c>
      <c r="J62" s="72">
        <v>4.8</v>
      </c>
      <c r="K62" s="72">
        <v>4.8</v>
      </c>
      <c r="L62" s="72">
        <v>4.8</v>
      </c>
      <c r="M62" s="72">
        <v>4.7</v>
      </c>
      <c r="N62" s="72">
        <v>4.7</v>
      </c>
      <c r="O62" s="72">
        <v>4.7</v>
      </c>
      <c r="P62" s="72">
        <v>4.7</v>
      </c>
      <c r="Q62" s="72">
        <v>4.7</v>
      </c>
      <c r="R62" s="72"/>
      <c r="S62" s="72">
        <v>4.7</v>
      </c>
      <c r="T62" s="72">
        <v>4.7</v>
      </c>
      <c r="U62" s="72">
        <v>4.7</v>
      </c>
      <c r="V62" s="72">
        <v>4.7</v>
      </c>
      <c r="W62" s="72">
        <v>4.7</v>
      </c>
      <c r="X62" s="72">
        <v>4.7</v>
      </c>
      <c r="Y62" s="72">
        <v>4.7</v>
      </c>
      <c r="Z62" s="72">
        <v>5.3</v>
      </c>
      <c r="AA62" s="72">
        <v>5.3</v>
      </c>
      <c r="AB62" s="72">
        <v>5.3</v>
      </c>
      <c r="AC62" s="72">
        <v>5.3</v>
      </c>
      <c r="AD62" s="72">
        <v>6.2</v>
      </c>
      <c r="AE62" s="72">
        <v>6.2</v>
      </c>
      <c r="AF62" s="72">
        <v>6.2</v>
      </c>
      <c r="AG62" s="61">
        <v>14</v>
      </c>
      <c r="AH62" s="52">
        <f t="shared" si="2"/>
        <v>6.2</v>
      </c>
      <c r="AI62" s="53">
        <f t="shared" si="3"/>
        <v>4.7</v>
      </c>
      <c r="AK62" s="54"/>
    </row>
    <row r="63" spans="1:41" x14ac:dyDescent="0.25">
      <c r="A63" s="60" t="s">
        <v>71</v>
      </c>
      <c r="B63" s="72">
        <v>3</v>
      </c>
      <c r="C63" s="72">
        <v>3</v>
      </c>
      <c r="D63" s="72">
        <v>3</v>
      </c>
      <c r="E63" s="72">
        <v>3</v>
      </c>
      <c r="F63" s="72">
        <v>3</v>
      </c>
      <c r="G63" s="72">
        <v>3</v>
      </c>
      <c r="H63" s="72">
        <v>3</v>
      </c>
      <c r="I63" s="72">
        <v>3</v>
      </c>
      <c r="J63" s="72">
        <v>3</v>
      </c>
      <c r="K63" s="72">
        <v>3</v>
      </c>
      <c r="L63" s="72">
        <v>3</v>
      </c>
      <c r="M63" s="72">
        <v>1.8</v>
      </c>
      <c r="N63" s="72">
        <v>1.8</v>
      </c>
      <c r="O63" s="72">
        <v>1.8</v>
      </c>
      <c r="P63" s="72">
        <v>1.8</v>
      </c>
      <c r="Q63" s="72">
        <v>1.8</v>
      </c>
      <c r="R63" s="72"/>
      <c r="S63" s="72">
        <v>1.8</v>
      </c>
      <c r="T63" s="72">
        <v>1.8</v>
      </c>
      <c r="U63" s="72">
        <v>1.8</v>
      </c>
      <c r="V63" s="72">
        <v>1.8</v>
      </c>
      <c r="W63" s="72">
        <v>1.8</v>
      </c>
      <c r="X63" s="72">
        <v>1.8</v>
      </c>
      <c r="Y63" s="72">
        <v>1.8</v>
      </c>
      <c r="Z63" s="72">
        <v>2.2000000000000002</v>
      </c>
      <c r="AA63" s="72">
        <v>2.2000000000000002</v>
      </c>
      <c r="AB63" s="72">
        <v>2.2000000000000002</v>
      </c>
      <c r="AC63" s="72">
        <v>2.2000000000000002</v>
      </c>
      <c r="AD63" s="72">
        <v>2.2000000000000002</v>
      </c>
      <c r="AE63" s="72">
        <v>2.2000000000000002</v>
      </c>
      <c r="AF63" s="72">
        <v>2.2000000000000002</v>
      </c>
      <c r="AG63" s="61">
        <v>10.050000000000001</v>
      </c>
      <c r="AH63" s="52">
        <f t="shared" si="2"/>
        <v>3</v>
      </c>
      <c r="AI63" s="53">
        <f t="shared" si="3"/>
        <v>1.8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/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>SUM(B53:B65)</f>
        <v>201.33999999999997</v>
      </c>
      <c r="C66" s="67">
        <f>SUM(C53:C65)</f>
        <v>203.24</v>
      </c>
      <c r="D66" s="67">
        <f t="shared" ref="D66:AG66" si="6">SUM(D53:D65)</f>
        <v>187.64000000000001</v>
      </c>
      <c r="E66" s="67">
        <f t="shared" si="6"/>
        <v>122.84</v>
      </c>
      <c r="F66" s="67">
        <f t="shared" si="6"/>
        <v>127.14</v>
      </c>
      <c r="G66" s="67">
        <f t="shared" si="6"/>
        <v>137.94</v>
      </c>
      <c r="H66" s="67">
        <f t="shared" si="6"/>
        <v>169.04000000000002</v>
      </c>
      <c r="I66" s="67">
        <f t="shared" si="6"/>
        <v>181.74</v>
      </c>
      <c r="J66" s="67">
        <f t="shared" si="6"/>
        <v>148.74</v>
      </c>
      <c r="K66" s="67">
        <f t="shared" si="6"/>
        <v>167.24</v>
      </c>
      <c r="L66" s="67">
        <f t="shared" si="6"/>
        <v>169.34</v>
      </c>
      <c r="M66" s="67">
        <f t="shared" si="6"/>
        <v>179.04</v>
      </c>
      <c r="N66" s="67">
        <f t="shared" si="6"/>
        <v>179.04</v>
      </c>
      <c r="O66" s="67">
        <f t="shared" si="6"/>
        <v>297.24</v>
      </c>
      <c r="P66" s="67">
        <f t="shared" si="6"/>
        <v>288.44</v>
      </c>
      <c r="Q66" s="67">
        <f t="shared" si="6"/>
        <v>288.04000000000002</v>
      </c>
      <c r="R66" s="67">
        <f t="shared" si="6"/>
        <v>3.54</v>
      </c>
      <c r="S66" s="67">
        <f t="shared" si="6"/>
        <v>284.54000000000002</v>
      </c>
      <c r="T66" s="67">
        <f t="shared" si="6"/>
        <v>292.73999999999995</v>
      </c>
      <c r="U66" s="67">
        <f t="shared" si="6"/>
        <v>297.54000000000002</v>
      </c>
      <c r="V66" s="67">
        <f t="shared" si="6"/>
        <v>270.74</v>
      </c>
      <c r="W66" s="67">
        <f t="shared" si="6"/>
        <v>222.04</v>
      </c>
      <c r="X66" s="67">
        <f t="shared" si="6"/>
        <v>202.54</v>
      </c>
      <c r="Y66" s="67">
        <f t="shared" si="6"/>
        <v>202.54</v>
      </c>
      <c r="Z66" s="67">
        <v>292.54000000000002</v>
      </c>
      <c r="AA66" s="67">
        <f t="shared" si="6"/>
        <v>320.24000000000007</v>
      </c>
      <c r="AB66" s="67">
        <f t="shared" si="6"/>
        <v>305.44</v>
      </c>
      <c r="AC66" s="67">
        <f t="shared" si="6"/>
        <v>282.14</v>
      </c>
      <c r="AD66" s="67">
        <f t="shared" si="6"/>
        <v>256.54000000000002</v>
      </c>
      <c r="AE66" s="67">
        <f t="shared" si="6"/>
        <v>268.84000000000003</v>
      </c>
      <c r="AF66" s="67">
        <f t="shared" si="6"/>
        <v>240.13999999999996</v>
      </c>
      <c r="AG66" s="68">
        <f t="shared" si="6"/>
        <v>489.91</v>
      </c>
      <c r="AH66" s="52">
        <f t="shared" si="2"/>
        <v>320.24000000000007</v>
      </c>
      <c r="AI66" s="53">
        <f t="shared" si="3"/>
        <v>3.54</v>
      </c>
      <c r="AK66" s="54"/>
    </row>
    <row r="67" spans="1:40" x14ac:dyDescent="0.25">
      <c r="A67" s="49" t="s">
        <v>75</v>
      </c>
      <c r="B67" s="50">
        <v>60</v>
      </c>
      <c r="C67" s="50">
        <v>60</v>
      </c>
      <c r="D67" s="50">
        <v>60</v>
      </c>
      <c r="E67" s="50">
        <v>60</v>
      </c>
      <c r="F67" s="50">
        <v>60</v>
      </c>
      <c r="G67" s="50">
        <v>60</v>
      </c>
      <c r="H67" s="50">
        <v>60</v>
      </c>
      <c r="I67" s="50">
        <v>60</v>
      </c>
      <c r="J67" s="50">
        <v>45</v>
      </c>
      <c r="K67" s="50">
        <v>45</v>
      </c>
      <c r="L67" s="50">
        <v>55</v>
      </c>
      <c r="M67" s="50">
        <v>60</v>
      </c>
      <c r="N67" s="50">
        <v>60</v>
      </c>
      <c r="O67" s="50">
        <v>60</v>
      </c>
      <c r="P67" s="50">
        <v>60</v>
      </c>
      <c r="Q67" s="50">
        <v>60</v>
      </c>
      <c r="R67" s="50"/>
      <c r="S67" s="50">
        <v>44.4</v>
      </c>
      <c r="T67" s="50">
        <v>49.1</v>
      </c>
      <c r="U67" s="50">
        <v>58.3</v>
      </c>
      <c r="V67" s="50">
        <v>58.8</v>
      </c>
      <c r="W67" s="50">
        <v>58</v>
      </c>
      <c r="X67" s="50">
        <v>58</v>
      </c>
      <c r="Y67" s="50">
        <v>40</v>
      </c>
      <c r="Z67" s="50">
        <v>40</v>
      </c>
      <c r="AA67" s="50">
        <v>40</v>
      </c>
      <c r="AB67" s="50">
        <v>40</v>
      </c>
      <c r="AC67" s="50">
        <v>40</v>
      </c>
      <c r="AD67" s="50">
        <v>40</v>
      </c>
      <c r="AE67" s="50">
        <v>60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40</v>
      </c>
      <c r="AK67" s="54"/>
    </row>
    <row r="68" spans="1:40" x14ac:dyDescent="0.25">
      <c r="A68" s="60" t="s">
        <v>76</v>
      </c>
      <c r="B68" s="72">
        <v>28.5</v>
      </c>
      <c r="C68" s="72">
        <v>28.5</v>
      </c>
      <c r="D68" s="72">
        <v>28.5</v>
      </c>
      <c r="E68" s="72">
        <v>28.5</v>
      </c>
      <c r="F68" s="72">
        <v>28.5</v>
      </c>
      <c r="G68" s="72">
        <v>28.5</v>
      </c>
      <c r="H68" s="72">
        <v>28.5</v>
      </c>
      <c r="I68" s="72">
        <v>28.5</v>
      </c>
      <c r="J68" s="72">
        <v>19</v>
      </c>
      <c r="K68" s="72">
        <v>20.7</v>
      </c>
      <c r="L68" s="72">
        <v>17.8</v>
      </c>
      <c r="M68" s="72">
        <v>28.2</v>
      </c>
      <c r="N68" s="72">
        <v>28.2</v>
      </c>
      <c r="O68" s="72">
        <v>28.2</v>
      </c>
      <c r="P68" s="72">
        <v>28.2</v>
      </c>
      <c r="Q68" s="50">
        <v>28.2</v>
      </c>
      <c r="R68" s="50"/>
      <c r="S68" s="72">
        <v>15.2</v>
      </c>
      <c r="T68" s="72">
        <v>25.4</v>
      </c>
      <c r="U68" s="72">
        <v>28.3</v>
      </c>
      <c r="V68" s="72">
        <v>28.3</v>
      </c>
      <c r="W68" s="72">
        <v>29.8</v>
      </c>
      <c r="X68" s="72">
        <v>29.8</v>
      </c>
      <c r="Y68" s="72">
        <v>20</v>
      </c>
      <c r="Z68" s="72">
        <v>14.7</v>
      </c>
      <c r="AA68" s="72">
        <v>14.7</v>
      </c>
      <c r="AB68" s="72">
        <v>18</v>
      </c>
      <c r="AC68" s="72">
        <v>18</v>
      </c>
      <c r="AD68" s="72">
        <v>18</v>
      </c>
      <c r="AE68" s="72">
        <v>28.6</v>
      </c>
      <c r="AF68" s="72">
        <v>28.6</v>
      </c>
      <c r="AG68" s="61">
        <v>32</v>
      </c>
      <c r="AH68" s="52">
        <f t="shared" si="2"/>
        <v>29.8</v>
      </c>
      <c r="AI68" s="53">
        <f t="shared" si="3"/>
        <v>14.7</v>
      </c>
      <c r="AK68" s="54"/>
    </row>
    <row r="69" spans="1:40" ht="15.75" thickBot="1" x14ac:dyDescent="0.3">
      <c r="A69" s="78" t="s">
        <v>77</v>
      </c>
      <c r="B69" s="74">
        <v>10.4</v>
      </c>
      <c r="C69" s="74">
        <v>10.4</v>
      </c>
      <c r="D69" s="74">
        <v>10.4</v>
      </c>
      <c r="E69" s="74">
        <v>10.4</v>
      </c>
      <c r="F69" s="74">
        <v>10.4</v>
      </c>
      <c r="G69" s="74">
        <v>10.4</v>
      </c>
      <c r="H69" s="74">
        <v>10.4</v>
      </c>
      <c r="I69" s="74">
        <v>10.4</v>
      </c>
      <c r="J69" s="74">
        <v>7</v>
      </c>
      <c r="K69" s="74">
        <v>7</v>
      </c>
      <c r="L69" s="74">
        <v>6.5</v>
      </c>
      <c r="M69" s="74">
        <v>10.3</v>
      </c>
      <c r="N69" s="74">
        <v>10.3</v>
      </c>
      <c r="O69" s="74">
        <v>10.3</v>
      </c>
      <c r="P69" s="74">
        <v>10.3</v>
      </c>
      <c r="Q69" s="50">
        <v>10.4</v>
      </c>
      <c r="R69" s="50"/>
      <c r="S69" s="74">
        <v>5.5</v>
      </c>
      <c r="T69" s="74">
        <v>9.3000000000000007</v>
      </c>
      <c r="U69" s="74">
        <v>10.3</v>
      </c>
      <c r="V69" s="74">
        <v>10.3</v>
      </c>
      <c r="W69" s="74">
        <v>10.9</v>
      </c>
      <c r="X69" s="74">
        <v>10.9</v>
      </c>
      <c r="Y69" s="74">
        <v>7.3</v>
      </c>
      <c r="Z69" s="74">
        <v>5.3</v>
      </c>
      <c r="AA69" s="74">
        <v>5.3</v>
      </c>
      <c r="AB69" s="74">
        <v>6.4</v>
      </c>
      <c r="AC69" s="74">
        <v>6.4</v>
      </c>
      <c r="AD69" s="74">
        <v>6.4</v>
      </c>
      <c r="AE69" s="74">
        <v>10.4</v>
      </c>
      <c r="AF69" s="74">
        <v>10.4</v>
      </c>
      <c r="AG69" s="75">
        <v>14</v>
      </c>
      <c r="AH69" s="52">
        <f t="shared" si="2"/>
        <v>10.9</v>
      </c>
      <c r="AI69" s="53">
        <f t="shared" si="3"/>
        <v>5.3</v>
      </c>
      <c r="AK69" s="54"/>
    </row>
    <row r="70" spans="1:40" ht="15.75" thickBot="1" x14ac:dyDescent="0.3">
      <c r="A70" s="81" t="s">
        <v>78</v>
      </c>
      <c r="B70" s="67">
        <f t="shared" ref="B70:K70" si="7">B67+B68+B69</f>
        <v>98.9</v>
      </c>
      <c r="C70" s="67">
        <f t="shared" si="7"/>
        <v>98.9</v>
      </c>
      <c r="D70" s="67">
        <f t="shared" si="7"/>
        <v>98.9</v>
      </c>
      <c r="E70" s="67">
        <f t="shared" si="7"/>
        <v>98.9</v>
      </c>
      <c r="F70" s="67">
        <f t="shared" si="7"/>
        <v>98.9</v>
      </c>
      <c r="G70" s="67">
        <f t="shared" si="7"/>
        <v>98.9</v>
      </c>
      <c r="H70" s="67">
        <f t="shared" si="7"/>
        <v>98.9</v>
      </c>
      <c r="I70" s="67">
        <f t="shared" si="7"/>
        <v>98.9</v>
      </c>
      <c r="J70" s="67">
        <f t="shared" si="7"/>
        <v>71</v>
      </c>
      <c r="K70" s="67">
        <f t="shared" si="7"/>
        <v>72.7</v>
      </c>
      <c r="L70" s="67">
        <f>L67+L68+L69</f>
        <v>79.3</v>
      </c>
      <c r="M70" s="67">
        <f t="shared" ref="M70:AF70" si="8">M67+M68+M69</f>
        <v>98.5</v>
      </c>
      <c r="N70" s="67">
        <f t="shared" si="8"/>
        <v>98.5</v>
      </c>
      <c r="O70" s="67">
        <f t="shared" si="8"/>
        <v>98.5</v>
      </c>
      <c r="P70" s="67">
        <f t="shared" si="8"/>
        <v>98.5</v>
      </c>
      <c r="Q70" s="67">
        <f t="shared" si="8"/>
        <v>98.600000000000009</v>
      </c>
      <c r="R70" s="67">
        <f t="shared" si="8"/>
        <v>0</v>
      </c>
      <c r="S70" s="67">
        <f t="shared" si="8"/>
        <v>65.099999999999994</v>
      </c>
      <c r="T70" s="67">
        <f t="shared" si="8"/>
        <v>83.8</v>
      </c>
      <c r="U70" s="67">
        <f t="shared" si="8"/>
        <v>96.899999999999991</v>
      </c>
      <c r="V70" s="67">
        <f t="shared" si="8"/>
        <v>97.399999999999991</v>
      </c>
      <c r="W70" s="67">
        <f t="shared" si="8"/>
        <v>98.7</v>
      </c>
      <c r="X70" s="67">
        <f t="shared" si="8"/>
        <v>98.7</v>
      </c>
      <c r="Y70" s="67">
        <f t="shared" si="8"/>
        <v>67.3</v>
      </c>
      <c r="Z70" s="67">
        <v>60</v>
      </c>
      <c r="AA70" s="67">
        <f t="shared" si="8"/>
        <v>60</v>
      </c>
      <c r="AB70" s="67">
        <f t="shared" si="8"/>
        <v>64.400000000000006</v>
      </c>
      <c r="AC70" s="67">
        <f t="shared" si="8"/>
        <v>64.400000000000006</v>
      </c>
      <c r="AD70" s="67">
        <f t="shared" si="8"/>
        <v>64.400000000000006</v>
      </c>
      <c r="AE70" s="67">
        <f t="shared" si="8"/>
        <v>99</v>
      </c>
      <c r="AF70" s="67">
        <f t="shared" si="8"/>
        <v>99</v>
      </c>
      <c r="AG70" s="68">
        <f>SUM(AG67:AG69)</f>
        <v>106</v>
      </c>
      <c r="AH70" s="52">
        <f t="shared" si="2"/>
        <v>99</v>
      </c>
      <c r="AI70" s="53">
        <f t="shared" si="3"/>
        <v>0</v>
      </c>
      <c r="AK70" s="54"/>
    </row>
    <row r="71" spans="1:40" x14ac:dyDescent="0.25">
      <c r="A71" s="49" t="s">
        <v>79</v>
      </c>
      <c r="B71" s="50">
        <v>66.8</v>
      </c>
      <c r="C71" s="50">
        <v>67.900000000000006</v>
      </c>
      <c r="D71" s="50">
        <v>70.2</v>
      </c>
      <c r="E71" s="50">
        <v>73.5</v>
      </c>
      <c r="F71" s="50">
        <v>68.599999999999994</v>
      </c>
      <c r="G71" s="50">
        <v>66.78</v>
      </c>
      <c r="H71" s="50">
        <v>65.7</v>
      </c>
      <c r="I71" s="50">
        <v>60.6</v>
      </c>
      <c r="J71" s="50">
        <v>63.9</v>
      </c>
      <c r="K71" s="50">
        <v>67.8</v>
      </c>
      <c r="L71" s="50">
        <v>64.7</v>
      </c>
      <c r="M71" s="50">
        <v>55.4</v>
      </c>
      <c r="N71" s="50">
        <v>63.6</v>
      </c>
      <c r="O71" s="50">
        <v>58</v>
      </c>
      <c r="P71" s="50">
        <v>67</v>
      </c>
      <c r="Q71" s="50">
        <v>64.3</v>
      </c>
      <c r="R71" s="50"/>
      <c r="S71" s="50">
        <v>78</v>
      </c>
      <c r="T71" s="50">
        <v>76</v>
      </c>
      <c r="U71" s="50">
        <v>66.099999999999994</v>
      </c>
      <c r="V71" s="50">
        <v>72.5</v>
      </c>
      <c r="W71" s="50">
        <v>74.599999999999994</v>
      </c>
      <c r="X71" s="50">
        <v>58</v>
      </c>
      <c r="Y71" s="50">
        <v>70.400000000000006</v>
      </c>
      <c r="Z71" s="50">
        <v>66.5</v>
      </c>
      <c r="AA71" s="50">
        <v>72.5</v>
      </c>
      <c r="AB71" s="50">
        <v>66</v>
      </c>
      <c r="AC71" s="50">
        <v>65.2</v>
      </c>
      <c r="AD71" s="50">
        <v>65</v>
      </c>
      <c r="AE71" s="50">
        <v>49.5</v>
      </c>
      <c r="AF71" s="50">
        <v>45.5</v>
      </c>
      <c r="AG71" s="56"/>
      <c r="AH71" s="52">
        <f t="shared" si="2"/>
        <v>78</v>
      </c>
      <c r="AI71" s="53">
        <f t="shared" si="3"/>
        <v>45.5</v>
      </c>
      <c r="AK71" s="54"/>
    </row>
    <row r="72" spans="1:40" x14ac:dyDescent="0.25">
      <c r="A72" s="60" t="s">
        <v>80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/>
      <c r="S72" s="72">
        <v>76</v>
      </c>
      <c r="T72" s="72">
        <v>80</v>
      </c>
      <c r="U72" s="72">
        <v>70</v>
      </c>
      <c r="V72" s="72">
        <v>65</v>
      </c>
      <c r="W72" s="72">
        <v>68</v>
      </c>
      <c r="X72" s="72">
        <v>78</v>
      </c>
      <c r="Y72" s="72">
        <v>70</v>
      </c>
      <c r="Z72" s="72">
        <v>72</v>
      </c>
      <c r="AA72" s="72">
        <v>74.5</v>
      </c>
      <c r="AB72" s="72">
        <v>73.900000000000006</v>
      </c>
      <c r="AC72" s="72">
        <v>78.5</v>
      </c>
      <c r="AD72" s="72">
        <v>75.400000000000006</v>
      </c>
      <c r="AE72" s="72">
        <v>0</v>
      </c>
      <c r="AF72" s="72">
        <v>0</v>
      </c>
      <c r="AG72" s="61"/>
      <c r="AH72" s="52">
        <f t="shared" si="2"/>
        <v>80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282.39999999999998</v>
      </c>
      <c r="C73" s="72">
        <v>350</v>
      </c>
      <c r="D73" s="72">
        <v>368</v>
      </c>
      <c r="E73" s="72">
        <v>406</v>
      </c>
      <c r="F73" s="72">
        <v>432.6</v>
      </c>
      <c r="G73" s="72">
        <v>442.3</v>
      </c>
      <c r="H73" s="72">
        <v>435.7</v>
      </c>
      <c r="I73" s="72">
        <v>403</v>
      </c>
      <c r="J73" s="72">
        <v>440</v>
      </c>
      <c r="K73" s="72">
        <v>436</v>
      </c>
      <c r="L73" s="72">
        <v>453.8</v>
      </c>
      <c r="M73" s="72">
        <v>468</v>
      </c>
      <c r="N73" s="72">
        <v>467</v>
      </c>
      <c r="O73" s="72">
        <v>470</v>
      </c>
      <c r="P73" s="72">
        <v>506</v>
      </c>
      <c r="Q73" s="72">
        <v>522</v>
      </c>
      <c r="R73" s="72"/>
      <c r="S73" s="72">
        <v>298</v>
      </c>
      <c r="T73" s="72">
        <v>401</v>
      </c>
      <c r="U73" s="72">
        <v>296</v>
      </c>
      <c r="V73" s="72">
        <v>379</v>
      </c>
      <c r="W73" s="72">
        <v>410</v>
      </c>
      <c r="X73" s="72">
        <v>380</v>
      </c>
      <c r="Y73" s="72">
        <v>366</v>
      </c>
      <c r="Z73" s="72">
        <v>356</v>
      </c>
      <c r="AA73" s="72">
        <v>365</v>
      </c>
      <c r="AB73" s="72">
        <v>339</v>
      </c>
      <c r="AC73" s="72">
        <v>333</v>
      </c>
      <c r="AD73" s="72">
        <v>323</v>
      </c>
      <c r="AE73" s="72">
        <v>285</v>
      </c>
      <c r="AF73" s="72">
        <v>250.3</v>
      </c>
      <c r="AG73" s="82"/>
      <c r="AH73" s="52">
        <f t="shared" si="2"/>
        <v>522</v>
      </c>
      <c r="AI73" s="53">
        <f t="shared" si="3"/>
        <v>250.3</v>
      </c>
      <c r="AK73" s="54"/>
    </row>
    <row r="74" spans="1:40" x14ac:dyDescent="0.25">
      <c r="A74" s="60" t="s">
        <v>82</v>
      </c>
      <c r="B74" s="72">
        <v>69.099999999999994</v>
      </c>
      <c r="C74" s="72">
        <v>60</v>
      </c>
      <c r="D74" s="72">
        <v>60.3</v>
      </c>
      <c r="E74" s="83">
        <v>63.8</v>
      </c>
      <c r="F74" s="83">
        <v>63.3</v>
      </c>
      <c r="G74" s="83">
        <v>63</v>
      </c>
      <c r="H74" s="83">
        <v>63.3</v>
      </c>
      <c r="I74" s="83">
        <v>59</v>
      </c>
      <c r="J74" s="83">
        <v>58.8</v>
      </c>
      <c r="K74" s="83">
        <v>57.5</v>
      </c>
      <c r="L74" s="83">
        <v>56.3</v>
      </c>
      <c r="M74" s="83">
        <v>57.7</v>
      </c>
      <c r="N74" s="83">
        <v>55.8</v>
      </c>
      <c r="O74" s="83">
        <v>53</v>
      </c>
      <c r="P74" s="83">
        <v>67.3</v>
      </c>
      <c r="Q74" s="83">
        <v>58.2</v>
      </c>
      <c r="R74" s="83"/>
      <c r="S74" s="83">
        <v>66.8</v>
      </c>
      <c r="T74" s="83">
        <v>66.2</v>
      </c>
      <c r="U74" s="83">
        <v>72.099999999999994</v>
      </c>
      <c r="V74" s="83">
        <v>67.599999999999994</v>
      </c>
      <c r="W74" s="83">
        <v>66.3</v>
      </c>
      <c r="X74" s="83">
        <v>64</v>
      </c>
      <c r="Y74" s="72">
        <v>65.400000000000006</v>
      </c>
      <c r="Z74" s="72">
        <v>66.599999999999994</v>
      </c>
      <c r="AA74" s="72">
        <v>60.3</v>
      </c>
      <c r="AB74" s="72">
        <v>56.6</v>
      </c>
      <c r="AC74" s="72">
        <v>54.5</v>
      </c>
      <c r="AD74" s="72">
        <v>57.8</v>
      </c>
      <c r="AE74" s="72">
        <v>67.400000000000006</v>
      </c>
      <c r="AF74" s="72">
        <v>69</v>
      </c>
      <c r="AG74" s="82"/>
      <c r="AH74" s="52">
        <f t="shared" si="2"/>
        <v>72.099999999999994</v>
      </c>
      <c r="AI74" s="53">
        <f t="shared" si="3"/>
        <v>53</v>
      </c>
      <c r="AK74" s="54"/>
    </row>
    <row r="75" spans="1:40" x14ac:dyDescent="0.25">
      <c r="A75" s="60" t="s">
        <v>83</v>
      </c>
      <c r="B75" s="50">
        <v>18.2</v>
      </c>
      <c r="C75" s="50">
        <v>18</v>
      </c>
      <c r="D75" s="50">
        <v>17.899999999999999</v>
      </c>
      <c r="E75" s="50">
        <v>17.100000000000001</v>
      </c>
      <c r="F75" s="50">
        <v>17.399999999999999</v>
      </c>
      <c r="G75" s="50">
        <v>16.8</v>
      </c>
      <c r="H75" s="50">
        <v>15.8</v>
      </c>
      <c r="I75" s="50">
        <v>16.399999999999999</v>
      </c>
      <c r="J75" s="50">
        <v>16.600000000000001</v>
      </c>
      <c r="K75" s="50">
        <v>17.899999999999999</v>
      </c>
      <c r="L75" s="50">
        <v>17.600000000000001</v>
      </c>
      <c r="M75" s="50">
        <v>19</v>
      </c>
      <c r="N75" s="50">
        <v>19</v>
      </c>
      <c r="O75" s="50">
        <v>29.1</v>
      </c>
      <c r="P75" s="50">
        <v>32.799999999999997</v>
      </c>
      <c r="Q75" s="50">
        <v>32.799999999999997</v>
      </c>
      <c r="R75" s="50"/>
      <c r="S75" s="50">
        <v>32.4</v>
      </c>
      <c r="T75" s="50">
        <v>31.5</v>
      </c>
      <c r="U75" s="50">
        <v>29.9</v>
      </c>
      <c r="V75" s="50">
        <v>28.38</v>
      </c>
      <c r="W75" s="50">
        <v>25.2</v>
      </c>
      <c r="X75" s="50">
        <v>26</v>
      </c>
      <c r="Y75" s="50">
        <v>72.5</v>
      </c>
      <c r="Z75" s="50">
        <v>69.5</v>
      </c>
      <c r="AA75" s="50">
        <v>11.5</v>
      </c>
      <c r="AB75" s="50">
        <v>19</v>
      </c>
      <c r="AC75" s="50">
        <v>20.6</v>
      </c>
      <c r="AD75" s="50">
        <v>21.8</v>
      </c>
      <c r="AE75" s="50">
        <v>25</v>
      </c>
      <c r="AF75" s="50">
        <v>25.5</v>
      </c>
      <c r="AG75" s="82"/>
      <c r="AH75" s="52">
        <f t="shared" ref="AH75:AH117" si="9">MAX(B75:AF75)</f>
        <v>72.5</v>
      </c>
      <c r="AI75" s="53">
        <f t="shared" ref="AI75:AI117" si="10">MIN(B75:AF75)</f>
        <v>11.5</v>
      </c>
      <c r="AK75" s="54"/>
    </row>
    <row r="76" spans="1:40" x14ac:dyDescent="0.25">
      <c r="A76" s="60" t="s">
        <v>84</v>
      </c>
      <c r="B76" s="84">
        <v>5</v>
      </c>
      <c r="C76" s="84">
        <v>5</v>
      </c>
      <c r="D76" s="84">
        <v>5</v>
      </c>
      <c r="E76" s="84">
        <v>5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5</v>
      </c>
      <c r="M76" s="84">
        <v>5</v>
      </c>
      <c r="N76" s="84">
        <v>5</v>
      </c>
      <c r="O76" s="84">
        <v>5</v>
      </c>
      <c r="P76" s="84">
        <v>5</v>
      </c>
      <c r="Q76" s="84">
        <v>5</v>
      </c>
      <c r="R76" s="84"/>
      <c r="S76" s="84">
        <v>5</v>
      </c>
      <c r="T76" s="84">
        <v>5</v>
      </c>
      <c r="U76" s="84">
        <v>5</v>
      </c>
      <c r="V76" s="84">
        <v>5</v>
      </c>
      <c r="W76" s="84">
        <v>5</v>
      </c>
      <c r="X76" s="84">
        <v>5</v>
      </c>
      <c r="Y76" s="84">
        <v>5</v>
      </c>
      <c r="Z76" s="84">
        <v>5</v>
      </c>
      <c r="AA76" s="84">
        <v>5</v>
      </c>
      <c r="AB76" s="84">
        <v>5</v>
      </c>
      <c r="AC76" s="84">
        <v>5</v>
      </c>
      <c r="AD76" s="84">
        <v>5</v>
      </c>
      <c r="AE76" s="84">
        <v>5</v>
      </c>
      <c r="AF76" s="84">
        <v>5</v>
      </c>
      <c r="AG76" s="82"/>
      <c r="AH76" s="52">
        <f t="shared" si="9"/>
        <v>5</v>
      </c>
      <c r="AI76" s="53">
        <f t="shared" si="10"/>
        <v>0</v>
      </c>
      <c r="AK76" s="54"/>
    </row>
    <row r="77" spans="1:40" ht="15.75" thickBot="1" x14ac:dyDescent="0.3">
      <c r="A77" s="60" t="s">
        <v>85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/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9"/>
        <v>0</v>
      </c>
      <c r="AI77" s="53">
        <f t="shared" si="10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/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9"/>
        <v>0</v>
      </c>
      <c r="AI78" s="53">
        <f t="shared" si="10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/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9"/>
        <v>0</v>
      </c>
      <c r="AI79" s="53">
        <f t="shared" si="10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/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9"/>
        <v>0</v>
      </c>
      <c r="AI80" s="53">
        <f t="shared" si="10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/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9"/>
        <v>0</v>
      </c>
      <c r="AI81" s="53">
        <f t="shared" si="10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>SUMIF(B71:B81,"&gt;0")</f>
        <v>441.49999999999994</v>
      </c>
      <c r="C82" s="67">
        <f t="shared" ref="C82:AF82" si="11">SUMIF(C71:C81,"&gt;0")</f>
        <v>500.9</v>
      </c>
      <c r="D82" s="67">
        <f t="shared" si="11"/>
        <v>521.4</v>
      </c>
      <c r="E82" s="67">
        <f t="shared" si="11"/>
        <v>565.4</v>
      </c>
      <c r="F82" s="67">
        <f t="shared" si="11"/>
        <v>581.9</v>
      </c>
      <c r="G82" s="67">
        <f t="shared" si="11"/>
        <v>588.88</v>
      </c>
      <c r="H82" s="67">
        <f t="shared" si="11"/>
        <v>580.49999999999989</v>
      </c>
      <c r="I82" s="67">
        <f t="shared" si="11"/>
        <v>539</v>
      </c>
      <c r="J82" s="67">
        <f t="shared" si="11"/>
        <v>579.29999999999995</v>
      </c>
      <c r="K82" s="67">
        <f t="shared" si="11"/>
        <v>579.19999999999993</v>
      </c>
      <c r="L82" s="67">
        <f t="shared" si="11"/>
        <v>597.4</v>
      </c>
      <c r="M82" s="67">
        <f t="shared" si="11"/>
        <v>605.1</v>
      </c>
      <c r="N82" s="67">
        <f t="shared" si="11"/>
        <v>610.4</v>
      </c>
      <c r="O82" s="67">
        <f t="shared" si="11"/>
        <v>615.1</v>
      </c>
      <c r="P82" s="67">
        <f t="shared" si="11"/>
        <v>678.09999999999991</v>
      </c>
      <c r="Q82" s="67">
        <f t="shared" si="11"/>
        <v>682.3</v>
      </c>
      <c r="R82" s="67">
        <f t="shared" si="11"/>
        <v>0</v>
      </c>
      <c r="S82" s="67">
        <f t="shared" si="11"/>
        <v>556.19999999999993</v>
      </c>
      <c r="T82" s="67">
        <f t="shared" si="11"/>
        <v>659.7</v>
      </c>
      <c r="U82" s="67">
        <f t="shared" si="11"/>
        <v>539.1</v>
      </c>
      <c r="V82" s="67">
        <f t="shared" si="11"/>
        <v>617.48</v>
      </c>
      <c r="W82" s="67">
        <f t="shared" si="11"/>
        <v>649.1</v>
      </c>
      <c r="X82" s="67">
        <f t="shared" si="11"/>
        <v>611</v>
      </c>
      <c r="Y82" s="67">
        <f t="shared" si="11"/>
        <v>649.29999999999995</v>
      </c>
      <c r="Z82" s="67">
        <v>610.6</v>
      </c>
      <c r="AA82" s="67">
        <f t="shared" si="11"/>
        <v>588.79999999999995</v>
      </c>
      <c r="AB82" s="67">
        <f t="shared" si="11"/>
        <v>559.5</v>
      </c>
      <c r="AC82" s="67">
        <f t="shared" si="11"/>
        <v>556.80000000000007</v>
      </c>
      <c r="AD82" s="67">
        <f t="shared" si="11"/>
        <v>547.99999999999989</v>
      </c>
      <c r="AE82" s="67">
        <f t="shared" si="11"/>
        <v>431.9</v>
      </c>
      <c r="AF82" s="67">
        <f t="shared" si="11"/>
        <v>395.3</v>
      </c>
      <c r="AG82" s="95">
        <f>SUM(AG71:AG81)</f>
        <v>0</v>
      </c>
      <c r="AH82" s="52">
        <f t="shared" si="9"/>
        <v>682.3</v>
      </c>
      <c r="AI82" s="53">
        <f t="shared" si="10"/>
        <v>0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9"/>
        <v>0</v>
      </c>
      <c r="AI83" s="53">
        <f t="shared" si="10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9"/>
        <v>0</v>
      </c>
      <c r="AI84" s="53">
        <f t="shared" si="10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9"/>
        <v>0</v>
      </c>
      <c r="AI85" s="53">
        <f t="shared" si="10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>
        <v>0</v>
      </c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9"/>
        <v>0</v>
      </c>
      <c r="AI86" s="53">
        <f t="shared" si="10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>B48+B52+B70+B66+B82+B86</f>
        <v>1240.9399999999998</v>
      </c>
      <c r="C87" s="102">
        <f t="shared" ref="C87:AG87" si="12">C48+C52+C70+C66+C82+C86</f>
        <v>1262.44</v>
      </c>
      <c r="D87" s="102">
        <f t="shared" si="12"/>
        <v>1267.3399999999999</v>
      </c>
      <c r="E87" s="102">
        <f t="shared" si="12"/>
        <v>1249.44</v>
      </c>
      <c r="F87" s="102">
        <f t="shared" si="12"/>
        <v>1230.2399999999998</v>
      </c>
      <c r="G87" s="102">
        <f t="shared" si="12"/>
        <v>1225.1199999999999</v>
      </c>
      <c r="H87" s="102">
        <f t="shared" si="12"/>
        <v>1247.8399999999997</v>
      </c>
      <c r="I87" s="102">
        <f t="shared" si="12"/>
        <v>1219.04</v>
      </c>
      <c r="J87" s="102">
        <f t="shared" si="12"/>
        <v>1198.44</v>
      </c>
      <c r="K87" s="102">
        <f t="shared" si="12"/>
        <v>1218.54</v>
      </c>
      <c r="L87" s="102">
        <f t="shared" si="12"/>
        <v>1245.44</v>
      </c>
      <c r="M87" s="102">
        <f t="shared" si="12"/>
        <v>1281.94</v>
      </c>
      <c r="N87" s="102">
        <f t="shared" si="12"/>
        <v>1287.2399999999998</v>
      </c>
      <c r="O87" s="102">
        <f t="shared" si="12"/>
        <v>1410.1399999999999</v>
      </c>
      <c r="P87" s="102">
        <f t="shared" si="12"/>
        <v>1464.34</v>
      </c>
      <c r="Q87" s="102">
        <f t="shared" si="12"/>
        <v>1468.24</v>
      </c>
      <c r="R87" s="102">
        <f t="shared" si="12"/>
        <v>3.54</v>
      </c>
      <c r="S87" s="102">
        <f t="shared" si="12"/>
        <v>1305.1399999999999</v>
      </c>
      <c r="T87" s="102">
        <f t="shared" si="12"/>
        <v>1434.34</v>
      </c>
      <c r="U87" s="102">
        <f t="shared" si="12"/>
        <v>1331.54</v>
      </c>
      <c r="V87" s="102">
        <f t="shared" si="12"/>
        <v>1383.62</v>
      </c>
      <c r="W87" s="102">
        <f t="shared" si="12"/>
        <v>1367.94</v>
      </c>
      <c r="X87" s="102">
        <f t="shared" si="12"/>
        <v>1325.34</v>
      </c>
      <c r="Y87" s="102">
        <f t="shared" si="12"/>
        <v>1333.7399999999998</v>
      </c>
      <c r="Z87" s="102">
        <v>1422.74</v>
      </c>
      <c r="AA87" s="102">
        <f t="shared" si="12"/>
        <v>1398.54</v>
      </c>
      <c r="AB87" s="102">
        <f t="shared" si="12"/>
        <v>1395.84</v>
      </c>
      <c r="AC87" s="102">
        <f t="shared" si="12"/>
        <v>1372.8400000000001</v>
      </c>
      <c r="AD87" s="102">
        <f t="shared" si="12"/>
        <v>1358.44</v>
      </c>
      <c r="AE87" s="102">
        <f t="shared" si="12"/>
        <v>1369.24</v>
      </c>
      <c r="AF87" s="102">
        <f t="shared" si="12"/>
        <v>1361.94</v>
      </c>
      <c r="AG87" s="68">
        <f t="shared" si="12"/>
        <v>2065.09</v>
      </c>
      <c r="AH87" s="52">
        <f>MAX(B87:AF87)</f>
        <v>1468.24</v>
      </c>
      <c r="AI87" s="53">
        <f>MIN(B87:AF87)</f>
        <v>3.54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/>
      <c r="J88" s="104">
        <v>150</v>
      </c>
      <c r="K88" s="104">
        <v>200</v>
      </c>
      <c r="L88" s="104">
        <v>200</v>
      </c>
      <c r="M88" s="104">
        <v>200</v>
      </c>
      <c r="N88" s="104">
        <v>200</v>
      </c>
      <c r="O88" s="104">
        <v>200</v>
      </c>
      <c r="P88" s="104"/>
      <c r="Q88" s="104"/>
      <c r="R88" s="104"/>
      <c r="S88" s="104">
        <v>50</v>
      </c>
      <c r="T88" s="104">
        <v>50</v>
      </c>
      <c r="U88" s="104">
        <v>50</v>
      </c>
      <c r="V88" s="104">
        <v>50</v>
      </c>
      <c r="W88" s="104">
        <v>150</v>
      </c>
      <c r="X88" s="104">
        <v>200</v>
      </c>
      <c r="Y88" s="104">
        <v>250</v>
      </c>
      <c r="Z88" s="104">
        <v>320</v>
      </c>
      <c r="AA88" s="104">
        <v>300</v>
      </c>
      <c r="AB88" s="104">
        <v>300</v>
      </c>
      <c r="AC88" s="104">
        <v>300</v>
      </c>
      <c r="AD88" s="104">
        <v>300</v>
      </c>
      <c r="AE88" s="104">
        <v>200</v>
      </c>
      <c r="AF88" s="104"/>
      <c r="AG88" s="95"/>
      <c r="AH88" s="52">
        <f t="shared" si="9"/>
        <v>320</v>
      </c>
      <c r="AI88" s="53">
        <f t="shared" si="10"/>
        <v>50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>B87+B88</f>
        <v>1240.9399999999998</v>
      </c>
      <c r="C89" s="102">
        <f t="shared" ref="C89:AF89" si="13">C87+C88</f>
        <v>1262.44</v>
      </c>
      <c r="D89" s="102">
        <f t="shared" si="13"/>
        <v>1267.3399999999999</v>
      </c>
      <c r="E89" s="102">
        <f t="shared" si="13"/>
        <v>1249.44</v>
      </c>
      <c r="F89" s="102">
        <f t="shared" si="13"/>
        <v>1230.2399999999998</v>
      </c>
      <c r="G89" s="102">
        <f t="shared" si="13"/>
        <v>1225.1199999999999</v>
      </c>
      <c r="H89" s="102">
        <f t="shared" si="13"/>
        <v>1247.8399999999997</v>
      </c>
      <c r="I89" s="102">
        <f t="shared" si="13"/>
        <v>1219.04</v>
      </c>
      <c r="J89" s="102">
        <f t="shared" si="13"/>
        <v>1348.44</v>
      </c>
      <c r="K89" s="102">
        <f t="shared" si="13"/>
        <v>1418.54</v>
      </c>
      <c r="L89" s="102">
        <f t="shared" si="13"/>
        <v>1445.44</v>
      </c>
      <c r="M89" s="102">
        <f t="shared" si="13"/>
        <v>1481.94</v>
      </c>
      <c r="N89" s="102">
        <f t="shared" si="13"/>
        <v>1487.2399999999998</v>
      </c>
      <c r="O89" s="102">
        <f t="shared" si="13"/>
        <v>1610.1399999999999</v>
      </c>
      <c r="P89" s="102">
        <f t="shared" si="13"/>
        <v>1464.34</v>
      </c>
      <c r="Q89" s="102">
        <f t="shared" si="13"/>
        <v>1468.24</v>
      </c>
      <c r="R89" s="102">
        <f t="shared" si="13"/>
        <v>3.54</v>
      </c>
      <c r="S89" s="102">
        <f t="shared" si="13"/>
        <v>1355.1399999999999</v>
      </c>
      <c r="T89" s="102">
        <f t="shared" si="13"/>
        <v>1484.34</v>
      </c>
      <c r="U89" s="102">
        <f t="shared" si="13"/>
        <v>1381.54</v>
      </c>
      <c r="V89" s="102">
        <f t="shared" si="13"/>
        <v>1433.62</v>
      </c>
      <c r="W89" s="102">
        <f t="shared" si="13"/>
        <v>1517.94</v>
      </c>
      <c r="X89" s="102">
        <f t="shared" si="13"/>
        <v>1525.34</v>
      </c>
      <c r="Y89" s="102">
        <f t="shared" si="13"/>
        <v>1583.7399999999998</v>
      </c>
      <c r="Z89" s="102">
        <v>1742.74</v>
      </c>
      <c r="AA89" s="102">
        <f t="shared" si="13"/>
        <v>1698.54</v>
      </c>
      <c r="AB89" s="102">
        <f t="shared" si="13"/>
        <v>1695.84</v>
      </c>
      <c r="AC89" s="102">
        <f t="shared" si="13"/>
        <v>1672.8400000000001</v>
      </c>
      <c r="AD89" s="102">
        <f t="shared" si="13"/>
        <v>1658.44</v>
      </c>
      <c r="AE89" s="102">
        <f t="shared" si="13"/>
        <v>1569.24</v>
      </c>
      <c r="AF89" s="102">
        <f t="shared" si="13"/>
        <v>1361.94</v>
      </c>
      <c r="AG89" s="95">
        <f>AG86+AG82+AG70+AG66+AG48+AG88</f>
        <v>1526.99</v>
      </c>
      <c r="AH89" s="52">
        <f t="shared" si="9"/>
        <v>1742.74</v>
      </c>
      <c r="AI89" s="53">
        <f t="shared" si="10"/>
        <v>3.54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>B89-B97</f>
        <v>1240.9399999999998</v>
      </c>
      <c r="C90" s="102">
        <f t="shared" ref="C90:AF90" si="14">C89-C97</f>
        <v>1262.44</v>
      </c>
      <c r="D90" s="102">
        <f t="shared" si="14"/>
        <v>1267.3399999999999</v>
      </c>
      <c r="E90" s="102">
        <f t="shared" si="14"/>
        <v>1249.44</v>
      </c>
      <c r="F90" s="102">
        <f t="shared" si="14"/>
        <v>1230.2399999999998</v>
      </c>
      <c r="G90" s="102">
        <f t="shared" si="14"/>
        <v>1225.1199999999999</v>
      </c>
      <c r="H90" s="102">
        <f t="shared" si="14"/>
        <v>1247.8399999999997</v>
      </c>
      <c r="I90" s="102">
        <f t="shared" si="14"/>
        <v>1219.04</v>
      </c>
      <c r="J90" s="102">
        <f t="shared" si="14"/>
        <v>1348.44</v>
      </c>
      <c r="K90" s="102">
        <f t="shared" si="14"/>
        <v>1418.54</v>
      </c>
      <c r="L90" s="102">
        <f t="shared" si="14"/>
        <v>1445.44</v>
      </c>
      <c r="M90" s="102">
        <f t="shared" si="14"/>
        <v>1481.94</v>
      </c>
      <c r="N90" s="102">
        <f t="shared" si="14"/>
        <v>1487.2399999999998</v>
      </c>
      <c r="O90" s="102">
        <f t="shared" si="14"/>
        <v>1610.1399999999999</v>
      </c>
      <c r="P90" s="102">
        <f t="shared" si="14"/>
        <v>1464.34</v>
      </c>
      <c r="Q90" s="102">
        <f t="shared" si="14"/>
        <v>1468.24</v>
      </c>
      <c r="R90" s="102">
        <f t="shared" si="14"/>
        <v>3.54</v>
      </c>
      <c r="S90" s="102">
        <f t="shared" si="14"/>
        <v>1355.1399999999999</v>
      </c>
      <c r="T90" s="102">
        <f t="shared" si="14"/>
        <v>1484.34</v>
      </c>
      <c r="U90" s="102">
        <f t="shared" si="14"/>
        <v>1381.54</v>
      </c>
      <c r="V90" s="102">
        <f t="shared" si="14"/>
        <v>1433.62</v>
      </c>
      <c r="W90" s="102">
        <f t="shared" si="14"/>
        <v>1517.94</v>
      </c>
      <c r="X90" s="102">
        <f t="shared" si="14"/>
        <v>1525.34</v>
      </c>
      <c r="Y90" s="102">
        <f t="shared" si="14"/>
        <v>1583.7399999999998</v>
      </c>
      <c r="Z90" s="102">
        <v>1742.74</v>
      </c>
      <c r="AA90" s="102">
        <f t="shared" si="14"/>
        <v>1698.54</v>
      </c>
      <c r="AB90" s="102">
        <f t="shared" si="14"/>
        <v>1695.84</v>
      </c>
      <c r="AC90" s="102">
        <f t="shared" si="14"/>
        <v>1672.8400000000001</v>
      </c>
      <c r="AD90" s="102">
        <f t="shared" si="14"/>
        <v>1658.44</v>
      </c>
      <c r="AE90" s="102">
        <f t="shared" si="14"/>
        <v>1569.24</v>
      </c>
      <c r="AF90" s="102">
        <f t="shared" si="14"/>
        <v>1361.94</v>
      </c>
      <c r="AG90" s="95"/>
      <c r="AH90" s="52">
        <f t="shared" si="9"/>
        <v>1742.74</v>
      </c>
      <c r="AI90" s="53">
        <f t="shared" si="10"/>
        <v>3.54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9"/>
        <v>0</v>
      </c>
      <c r="AI91" s="53">
        <f t="shared" si="10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9"/>
        <v>0</v>
      </c>
      <c r="AI92" s="53">
        <f t="shared" si="10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9"/>
        <v>0</v>
      </c>
      <c r="AI93" s="53">
        <f t="shared" si="10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9"/>
        <v>0</v>
      </c>
      <c r="AI94" s="53">
        <f t="shared" si="10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9"/>
        <v>0</v>
      </c>
      <c r="AI95" s="53">
        <f t="shared" si="10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9"/>
        <v>0</v>
      </c>
      <c r="AI96" s="53">
        <f t="shared" si="10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>
        <v>0</v>
      </c>
      <c r="AA97" s="67"/>
      <c r="AB97" s="67"/>
      <c r="AC97" s="67"/>
      <c r="AD97" s="67"/>
      <c r="AE97" s="67"/>
      <c r="AF97" s="67"/>
      <c r="AG97" s="95"/>
      <c r="AH97" s="52">
        <f t="shared" si="9"/>
        <v>0</v>
      </c>
      <c r="AI97" s="53">
        <f t="shared" si="10"/>
        <v>0</v>
      </c>
      <c r="AK97" s="54"/>
    </row>
    <row r="98" spans="1:88" s="1" customFormat="1" ht="15.75" thickBot="1" x14ac:dyDescent="0.3">
      <c r="A98" s="81" t="s">
        <v>106</v>
      </c>
      <c r="B98" s="67">
        <f>B82-B97</f>
        <v>441.49999999999994</v>
      </c>
      <c r="C98" s="67">
        <f t="shared" ref="C98:AF98" si="15">C82-C97</f>
        <v>500.9</v>
      </c>
      <c r="D98" s="67">
        <f t="shared" si="15"/>
        <v>521.4</v>
      </c>
      <c r="E98" s="67">
        <f t="shared" si="15"/>
        <v>565.4</v>
      </c>
      <c r="F98" s="67">
        <f t="shared" si="15"/>
        <v>581.9</v>
      </c>
      <c r="G98" s="67">
        <f t="shared" si="15"/>
        <v>588.88</v>
      </c>
      <c r="H98" s="67">
        <f t="shared" si="15"/>
        <v>580.49999999999989</v>
      </c>
      <c r="I98" s="67">
        <f t="shared" si="15"/>
        <v>539</v>
      </c>
      <c r="J98" s="67">
        <f t="shared" si="15"/>
        <v>579.29999999999995</v>
      </c>
      <c r="K98" s="67">
        <f t="shared" si="15"/>
        <v>579.19999999999993</v>
      </c>
      <c r="L98" s="67">
        <f t="shared" si="15"/>
        <v>597.4</v>
      </c>
      <c r="M98" s="67">
        <f t="shared" si="15"/>
        <v>605.1</v>
      </c>
      <c r="N98" s="67">
        <f t="shared" si="15"/>
        <v>610.4</v>
      </c>
      <c r="O98" s="67">
        <f t="shared" si="15"/>
        <v>615.1</v>
      </c>
      <c r="P98" s="67">
        <f t="shared" si="15"/>
        <v>678.09999999999991</v>
      </c>
      <c r="Q98" s="67">
        <f t="shared" si="15"/>
        <v>682.3</v>
      </c>
      <c r="R98" s="67">
        <f t="shared" si="15"/>
        <v>0</v>
      </c>
      <c r="S98" s="67">
        <f t="shared" si="15"/>
        <v>556.19999999999993</v>
      </c>
      <c r="T98" s="67">
        <f t="shared" si="15"/>
        <v>659.7</v>
      </c>
      <c r="U98" s="67">
        <f t="shared" si="15"/>
        <v>539.1</v>
      </c>
      <c r="V98" s="67">
        <f t="shared" si="15"/>
        <v>617.48</v>
      </c>
      <c r="W98" s="67">
        <f t="shared" si="15"/>
        <v>649.1</v>
      </c>
      <c r="X98" s="67">
        <f t="shared" si="15"/>
        <v>611</v>
      </c>
      <c r="Y98" s="67">
        <f t="shared" si="15"/>
        <v>649.29999999999995</v>
      </c>
      <c r="Z98" s="67">
        <v>610.6</v>
      </c>
      <c r="AA98" s="67">
        <f t="shared" si="15"/>
        <v>588.79999999999995</v>
      </c>
      <c r="AB98" s="67">
        <f t="shared" si="15"/>
        <v>559.5</v>
      </c>
      <c r="AC98" s="67">
        <f t="shared" si="15"/>
        <v>556.80000000000007</v>
      </c>
      <c r="AD98" s="67">
        <f t="shared" si="15"/>
        <v>547.99999999999989</v>
      </c>
      <c r="AE98" s="67">
        <f t="shared" si="15"/>
        <v>431.9</v>
      </c>
      <c r="AF98" s="67">
        <f t="shared" si="15"/>
        <v>395.3</v>
      </c>
      <c r="AG98" s="95"/>
      <c r="AH98" s="52">
        <f t="shared" si="9"/>
        <v>682.3</v>
      </c>
      <c r="AI98" s="53">
        <f t="shared" si="10"/>
        <v>0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50.07</v>
      </c>
      <c r="C99" s="108">
        <v>50</v>
      </c>
      <c r="D99" s="108">
        <v>49.97</v>
      </c>
      <c r="E99" s="108">
        <v>49.996000000000002</v>
      </c>
      <c r="F99" s="108">
        <v>49.954999999999998</v>
      </c>
      <c r="G99" s="108">
        <v>50.048999999999999</v>
      </c>
      <c r="H99" s="108">
        <v>49.984999999999999</v>
      </c>
      <c r="I99" s="108">
        <v>50</v>
      </c>
      <c r="J99" s="108">
        <v>50.1</v>
      </c>
      <c r="K99" s="108">
        <v>50.055999999999997</v>
      </c>
      <c r="L99" s="108">
        <v>49.962000000000003</v>
      </c>
      <c r="M99" s="108">
        <v>50.018000000000001</v>
      </c>
      <c r="N99" s="108">
        <v>50.107999999999997</v>
      </c>
      <c r="O99" s="108">
        <v>50.058999999999997</v>
      </c>
      <c r="P99" s="108">
        <v>49.996000000000002</v>
      </c>
      <c r="Q99" s="108">
        <v>50.052999999999997</v>
      </c>
      <c r="R99" s="108"/>
      <c r="S99" s="108">
        <v>49.97</v>
      </c>
      <c r="T99" s="108">
        <v>49.965000000000003</v>
      </c>
      <c r="U99" s="108">
        <v>49.954999999999998</v>
      </c>
      <c r="V99" s="108">
        <v>50.026000000000003</v>
      </c>
      <c r="W99" s="108">
        <v>50.055999999999997</v>
      </c>
      <c r="X99" s="108">
        <v>49.963000000000001</v>
      </c>
      <c r="Y99" s="108">
        <v>50.039000000000001</v>
      </c>
      <c r="Z99" s="108">
        <v>50.210999999999999</v>
      </c>
      <c r="AA99" s="108">
        <v>49.935000000000002</v>
      </c>
      <c r="AB99" s="108">
        <v>50.054000000000002</v>
      </c>
      <c r="AC99" s="108">
        <v>50.011000000000003</v>
      </c>
      <c r="AD99" s="108">
        <v>49.970999999999997</v>
      </c>
      <c r="AE99" s="108">
        <v>49.970999999999997</v>
      </c>
      <c r="AF99" s="108">
        <v>49.817999999999998</v>
      </c>
      <c r="AG99" s="109"/>
      <c r="AH99" s="52">
        <f t="shared" si="9"/>
        <v>50.210999999999999</v>
      </c>
      <c r="AI99" s="53">
        <f t="shared" si="10"/>
        <v>49.817999999999998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128.9</v>
      </c>
      <c r="C100" s="72">
        <v>127.5</v>
      </c>
      <c r="D100" s="72">
        <v>127.1</v>
      </c>
      <c r="E100" s="72">
        <v>127.1</v>
      </c>
      <c r="F100" s="72">
        <v>126.6</v>
      </c>
      <c r="G100" s="72">
        <v>126.6</v>
      </c>
      <c r="H100" s="72">
        <v>127</v>
      </c>
      <c r="I100" s="72">
        <v>127</v>
      </c>
      <c r="J100" s="72">
        <v>127</v>
      </c>
      <c r="K100" s="72">
        <v>129</v>
      </c>
      <c r="L100" s="72">
        <v>127.6</v>
      </c>
      <c r="M100" s="72">
        <v>126.5</v>
      </c>
      <c r="N100" s="72">
        <v>127.3</v>
      </c>
      <c r="O100" s="72">
        <v>126.3</v>
      </c>
      <c r="P100" s="72">
        <v>123.6</v>
      </c>
      <c r="Q100" s="72">
        <v>123.8</v>
      </c>
      <c r="R100" s="72"/>
      <c r="S100" s="72">
        <v>122.4</v>
      </c>
      <c r="T100" s="72">
        <v>123.6</v>
      </c>
      <c r="U100" s="72">
        <v>124.3</v>
      </c>
      <c r="V100" s="72">
        <v>127.1</v>
      </c>
      <c r="W100" s="72">
        <v>126.4</v>
      </c>
      <c r="X100" s="72">
        <v>126.4</v>
      </c>
      <c r="Y100" s="72">
        <v>129</v>
      </c>
      <c r="Z100" s="72">
        <v>128.1</v>
      </c>
      <c r="AA100" s="72">
        <v>126.6</v>
      </c>
      <c r="AB100" s="72">
        <v>128</v>
      </c>
      <c r="AC100" s="72">
        <v>128.19999999999999</v>
      </c>
      <c r="AD100" s="72">
        <v>128.4</v>
      </c>
      <c r="AE100" s="72">
        <v>126.2</v>
      </c>
      <c r="AF100" s="72">
        <v>128</v>
      </c>
      <c r="AG100" s="111"/>
      <c r="AH100" s="52">
        <f t="shared" si="9"/>
        <v>129</v>
      </c>
      <c r="AI100" s="53">
        <f t="shared" si="10"/>
        <v>122.4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132.80000000000001</v>
      </c>
      <c r="C101" s="72">
        <v>132</v>
      </c>
      <c r="D101" s="72">
        <v>131.6</v>
      </c>
      <c r="E101" s="72">
        <v>131.6</v>
      </c>
      <c r="F101" s="72">
        <v>131</v>
      </c>
      <c r="G101" s="72">
        <v>131</v>
      </c>
      <c r="H101" s="72">
        <v>131</v>
      </c>
      <c r="I101" s="72">
        <v>131</v>
      </c>
      <c r="J101" s="72">
        <v>131</v>
      </c>
      <c r="K101" s="72">
        <v>130.69999999999999</v>
      </c>
      <c r="L101" s="72">
        <v>129</v>
      </c>
      <c r="M101" s="72">
        <v>128</v>
      </c>
      <c r="N101" s="72">
        <v>128.9</v>
      </c>
      <c r="O101" s="72">
        <v>128.30000000000001</v>
      </c>
      <c r="P101" s="72">
        <v>126.7</v>
      </c>
      <c r="Q101" s="72">
        <v>127.7</v>
      </c>
      <c r="R101" s="72"/>
      <c r="S101" s="72">
        <v>126.2</v>
      </c>
      <c r="T101" s="72">
        <v>127.3</v>
      </c>
      <c r="U101" s="72">
        <v>127</v>
      </c>
      <c r="V101" s="72">
        <v>128.30000000000001</v>
      </c>
      <c r="W101" s="72">
        <v>128.6</v>
      </c>
      <c r="X101" s="72">
        <v>128.6</v>
      </c>
      <c r="Y101" s="72">
        <v>130</v>
      </c>
      <c r="Z101" s="72">
        <v>129.4</v>
      </c>
      <c r="AA101" s="72">
        <v>128.69999999999999</v>
      </c>
      <c r="AB101" s="72">
        <v>130.9</v>
      </c>
      <c r="AC101" s="72">
        <v>131.19999999999999</v>
      </c>
      <c r="AD101" s="72">
        <v>131.69999999999999</v>
      </c>
      <c r="AE101" s="72">
        <v>130.5</v>
      </c>
      <c r="AF101" s="72">
        <v>131.69999999999999</v>
      </c>
      <c r="AG101" s="111"/>
      <c r="AH101" s="52">
        <f t="shared" si="9"/>
        <v>132.80000000000001</v>
      </c>
      <c r="AI101" s="53">
        <f t="shared" si="10"/>
        <v>126.2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129.19999999999999</v>
      </c>
      <c r="C102" s="72">
        <v>128.30000000000001</v>
      </c>
      <c r="D102" s="72">
        <v>126.6</v>
      </c>
      <c r="E102" s="72">
        <v>126.6</v>
      </c>
      <c r="F102" s="72">
        <v>128.6</v>
      </c>
      <c r="G102" s="72">
        <v>128.6</v>
      </c>
      <c r="H102" s="72">
        <v>128.6</v>
      </c>
      <c r="I102" s="72">
        <v>128.6</v>
      </c>
      <c r="J102" s="72">
        <v>128.6</v>
      </c>
      <c r="K102" s="72">
        <v>129.5</v>
      </c>
      <c r="L102" s="72">
        <v>127.4</v>
      </c>
      <c r="M102" s="72">
        <v>128.1</v>
      </c>
      <c r="N102" s="72">
        <v>125.4</v>
      </c>
      <c r="O102" s="72">
        <v>127.6</v>
      </c>
      <c r="P102" s="72">
        <v>120.2</v>
      </c>
      <c r="Q102" s="72">
        <v>119.6</v>
      </c>
      <c r="R102" s="72"/>
      <c r="S102" s="72"/>
      <c r="T102" s="72">
        <v>122.9</v>
      </c>
      <c r="U102" s="72">
        <v>127</v>
      </c>
      <c r="V102" s="72">
        <v>128.4</v>
      </c>
      <c r="W102" s="72">
        <v>126</v>
      </c>
      <c r="X102" s="72">
        <v>126</v>
      </c>
      <c r="Y102" s="72">
        <v>129</v>
      </c>
      <c r="Z102" s="72">
        <v>134.19999999999999</v>
      </c>
      <c r="AA102" s="72">
        <v>132.30000000000001</v>
      </c>
      <c r="AB102" s="72">
        <v>130.4</v>
      </c>
      <c r="AC102" s="72">
        <v>129.19999999999999</v>
      </c>
      <c r="AD102" s="72">
        <v>129.19999999999999</v>
      </c>
      <c r="AE102" s="72">
        <v>127.8</v>
      </c>
      <c r="AF102" s="72">
        <v>128</v>
      </c>
      <c r="AG102" s="111"/>
      <c r="AH102" s="52">
        <f t="shared" si="9"/>
        <v>134.19999999999999</v>
      </c>
      <c r="AI102" s="53">
        <f t="shared" si="10"/>
        <v>119.6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9"/>
        <v>0</v>
      </c>
      <c r="AI103" s="53">
        <f t="shared" si="10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135</v>
      </c>
      <c r="C104" s="113">
        <v>133.5</v>
      </c>
      <c r="D104" s="113">
        <v>134.30000000000001</v>
      </c>
      <c r="E104" s="113">
        <v>134.30000000000001</v>
      </c>
      <c r="F104" s="113">
        <v>131.69999999999999</v>
      </c>
      <c r="G104" s="113">
        <v>131.69999999999999</v>
      </c>
      <c r="H104" s="113">
        <v>131.69999999999999</v>
      </c>
      <c r="I104" s="113">
        <v>131.69999999999999</v>
      </c>
      <c r="J104" s="113">
        <v>131.69999999999999</v>
      </c>
      <c r="K104" s="113">
        <v>133</v>
      </c>
      <c r="L104" s="113">
        <v>132.69999999999999</v>
      </c>
      <c r="M104" s="113">
        <v>129.4</v>
      </c>
      <c r="N104" s="113">
        <v>133.6</v>
      </c>
      <c r="O104" s="113">
        <v>133.5</v>
      </c>
      <c r="P104" s="113">
        <v>131.80000000000001</v>
      </c>
      <c r="Q104" s="113">
        <v>132.6</v>
      </c>
      <c r="R104" s="113"/>
      <c r="S104" s="113">
        <v>130.30000000000001</v>
      </c>
      <c r="T104" s="113">
        <v>133.80000000000001</v>
      </c>
      <c r="U104" s="113">
        <v>130.9</v>
      </c>
      <c r="V104" s="113">
        <v>135.69999999999999</v>
      </c>
      <c r="W104" s="113">
        <v>135.80000000000001</v>
      </c>
      <c r="X104" s="113">
        <v>135.80000000000001</v>
      </c>
      <c r="Y104" s="113">
        <v>136</v>
      </c>
      <c r="Z104" s="113">
        <v>135.80000000000001</v>
      </c>
      <c r="AA104" s="113">
        <v>135.19999999999999</v>
      </c>
      <c r="AB104" s="113">
        <v>135.19999999999999</v>
      </c>
      <c r="AC104" s="113">
        <v>134.19999999999999</v>
      </c>
      <c r="AD104" s="113">
        <v>134.19999999999999</v>
      </c>
      <c r="AE104" s="113">
        <v>131.6</v>
      </c>
      <c r="AF104" s="113">
        <v>130.69999999999999</v>
      </c>
      <c r="AG104" s="114"/>
      <c r="AH104" s="52">
        <f t="shared" si="9"/>
        <v>136</v>
      </c>
      <c r="AI104" s="53">
        <f t="shared" si="10"/>
        <v>129.4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125.8</v>
      </c>
      <c r="C105" s="72">
        <v>129.9</v>
      </c>
      <c r="D105" s="72">
        <v>129.80000000000001</v>
      </c>
      <c r="E105" s="72">
        <v>129.80000000000001</v>
      </c>
      <c r="F105" s="72">
        <v>128.80000000000001</v>
      </c>
      <c r="G105" s="72">
        <v>128.80000000000001</v>
      </c>
      <c r="H105" s="72">
        <v>128.80000000000001</v>
      </c>
      <c r="I105" s="72">
        <v>128.80000000000001</v>
      </c>
      <c r="J105" s="72">
        <v>128.80000000000001</v>
      </c>
      <c r="K105" s="72">
        <v>126.6</v>
      </c>
      <c r="L105" s="72">
        <v>127.4</v>
      </c>
      <c r="M105" s="72">
        <v>132.80000000000001</v>
      </c>
      <c r="N105" s="72">
        <v>130.5</v>
      </c>
      <c r="O105" s="72">
        <v>134.4</v>
      </c>
      <c r="P105" s="72">
        <v>130.4</v>
      </c>
      <c r="Q105" s="72">
        <v>132.30000000000001</v>
      </c>
      <c r="R105" s="72"/>
      <c r="S105" s="72">
        <v>126.3</v>
      </c>
      <c r="T105" s="72">
        <v>12</v>
      </c>
      <c r="U105" s="72">
        <v>132.19999999999999</v>
      </c>
      <c r="V105" s="72">
        <v>131</v>
      </c>
      <c r="W105" s="72">
        <v>129.80000000000001</v>
      </c>
      <c r="X105" s="72">
        <v>129.80000000000001</v>
      </c>
      <c r="Y105" s="72">
        <v>129.69999999999999</v>
      </c>
      <c r="Z105" s="72">
        <v>132.19999999999999</v>
      </c>
      <c r="AA105" s="72">
        <v>125.3</v>
      </c>
      <c r="AB105" s="72">
        <v>132.4</v>
      </c>
      <c r="AC105" s="72">
        <v>132.80000000000001</v>
      </c>
      <c r="AD105" s="72">
        <v>130.9</v>
      </c>
      <c r="AE105" s="72">
        <v>133</v>
      </c>
      <c r="AF105" s="72">
        <v>134.1</v>
      </c>
      <c r="AG105" s="111"/>
      <c r="AH105" s="52">
        <f t="shared" si="9"/>
        <v>134.4</v>
      </c>
      <c r="AI105" s="53">
        <f t="shared" si="10"/>
        <v>12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66.400000000000006</v>
      </c>
      <c r="C106" s="99">
        <v>66.099999999999994</v>
      </c>
      <c r="D106" s="99">
        <v>66.099999999999994</v>
      </c>
      <c r="E106" s="99">
        <v>66.099999999999994</v>
      </c>
      <c r="F106" s="99">
        <v>65.8</v>
      </c>
      <c r="G106" s="99">
        <v>65.8</v>
      </c>
      <c r="H106" s="99">
        <v>65.8</v>
      </c>
      <c r="I106" s="99">
        <v>65.8</v>
      </c>
      <c r="J106" s="99">
        <v>65.8</v>
      </c>
      <c r="K106" s="99">
        <v>65.5</v>
      </c>
      <c r="L106" s="99">
        <v>64.599999999999994</v>
      </c>
      <c r="M106" s="99">
        <v>64.2</v>
      </c>
      <c r="N106" s="99">
        <v>64.8</v>
      </c>
      <c r="O106" s="99">
        <v>64.3</v>
      </c>
      <c r="P106" s="99">
        <v>63.6</v>
      </c>
      <c r="Q106" s="99">
        <v>64</v>
      </c>
      <c r="R106" s="99"/>
      <c r="S106" s="99">
        <v>62.9</v>
      </c>
      <c r="T106" s="99">
        <v>63.6</v>
      </c>
      <c r="U106" s="99">
        <v>63.1</v>
      </c>
      <c r="V106" s="99">
        <v>64.099999999999994</v>
      </c>
      <c r="W106" s="99">
        <v>64</v>
      </c>
      <c r="X106" s="99">
        <v>64</v>
      </c>
      <c r="Y106" s="99">
        <v>64.900000000000006</v>
      </c>
      <c r="Z106" s="99">
        <v>64.5</v>
      </c>
      <c r="AA106" s="99">
        <v>64.2</v>
      </c>
      <c r="AB106" s="99">
        <v>65.5</v>
      </c>
      <c r="AC106" s="99">
        <v>65.7</v>
      </c>
      <c r="AD106" s="99">
        <v>65.8</v>
      </c>
      <c r="AE106" s="99">
        <v>65.400000000000006</v>
      </c>
      <c r="AF106" s="99">
        <v>65.599999999999994</v>
      </c>
      <c r="AG106" s="115"/>
      <c r="AH106" s="52">
        <f t="shared" si="9"/>
        <v>66.400000000000006</v>
      </c>
      <c r="AI106" s="53">
        <f t="shared" si="10"/>
        <v>62.9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 t="s">
        <v>115</v>
      </c>
      <c r="AA107" s="99"/>
      <c r="AB107" s="99"/>
      <c r="AC107" s="99"/>
      <c r="AD107" s="99"/>
      <c r="AE107" s="99"/>
      <c r="AF107" s="99"/>
      <c r="AG107" s="115"/>
      <c r="AH107" s="52">
        <f t="shared" si="9"/>
        <v>0</v>
      </c>
      <c r="AI107" s="53">
        <f t="shared" si="10"/>
        <v>0</v>
      </c>
    </row>
    <row r="108" spans="1:88" ht="15.75" thickBot="1" x14ac:dyDescent="0.3">
      <c r="A108" s="117" t="s">
        <v>116</v>
      </c>
      <c r="B108" s="118">
        <f>SUM(B18,B24,B27:B28,B56,B58:B59,B61,B63,B109:B113,B135,B141,B147,B156,B158,B170,B177,B180:B181,B188,B190,B192,B196:B198,B200:B202,B207,B213:B214,B216:B218,B226,B231)</f>
        <v>119.8</v>
      </c>
      <c r="C108" s="118">
        <f t="shared" ref="C108:AF108" si="16">SUM(C18,C24,C27:C28,C56,C58:C59,C61,C63,C109:C113,C135,C141,C147,C156,C158,C170,C177,C180:C181,C188,C190,C192,C196:C198,C200:C202,C207,C213:C214,C216:C218,C226,C231)</f>
        <v>112.74000000000001</v>
      </c>
      <c r="D108" s="118">
        <f t="shared" si="16"/>
        <v>107.84</v>
      </c>
      <c r="E108" s="118">
        <f t="shared" si="16"/>
        <v>109.83999999999999</v>
      </c>
      <c r="F108" s="118">
        <f t="shared" si="16"/>
        <v>111.53999999999999</v>
      </c>
      <c r="G108" s="118">
        <f t="shared" si="16"/>
        <v>131.54000000000002</v>
      </c>
      <c r="H108" s="118">
        <f t="shared" si="16"/>
        <v>158.74</v>
      </c>
      <c r="I108" s="118">
        <f t="shared" si="16"/>
        <v>216.14</v>
      </c>
      <c r="J108" s="118">
        <f t="shared" si="16"/>
        <v>220.54000000000002</v>
      </c>
      <c r="K108" s="118">
        <f t="shared" si="16"/>
        <v>248.54</v>
      </c>
      <c r="L108" s="118">
        <f t="shared" si="16"/>
        <v>266.94</v>
      </c>
      <c r="M108" s="118">
        <f t="shared" si="16"/>
        <v>279.94</v>
      </c>
      <c r="N108" s="118">
        <f t="shared" si="16"/>
        <v>265.04000000000002</v>
      </c>
      <c r="O108" s="118">
        <f t="shared" si="16"/>
        <v>267.64</v>
      </c>
      <c r="P108" s="118">
        <v>42</v>
      </c>
      <c r="Q108" s="118">
        <f t="shared" si="16"/>
        <v>251.8</v>
      </c>
      <c r="R108" s="118">
        <f t="shared" si="16"/>
        <v>0</v>
      </c>
      <c r="S108" s="118">
        <f t="shared" si="16"/>
        <v>228.7</v>
      </c>
      <c r="T108" s="118">
        <f t="shared" si="16"/>
        <v>214.59999999999997</v>
      </c>
      <c r="U108" s="118">
        <f t="shared" si="16"/>
        <v>221.00000000000003</v>
      </c>
      <c r="V108" s="118">
        <f t="shared" si="16"/>
        <v>228.8</v>
      </c>
      <c r="W108" s="118">
        <f t="shared" si="16"/>
        <v>221.3</v>
      </c>
      <c r="X108" s="118">
        <f t="shared" si="16"/>
        <v>268.39999999999998</v>
      </c>
      <c r="Y108" s="118">
        <f t="shared" si="16"/>
        <v>300.29999999999995</v>
      </c>
      <c r="Z108" s="118">
        <v>394.89708333333334</v>
      </c>
      <c r="AA108" s="118">
        <f t="shared" si="16"/>
        <v>315.2</v>
      </c>
      <c r="AB108" s="118">
        <f t="shared" si="16"/>
        <v>293.2</v>
      </c>
      <c r="AC108" s="118">
        <f t="shared" si="16"/>
        <v>278.39999999999998</v>
      </c>
      <c r="AD108" s="118">
        <f t="shared" si="16"/>
        <v>258</v>
      </c>
      <c r="AE108" s="118">
        <f t="shared" si="16"/>
        <v>180.8</v>
      </c>
      <c r="AF108" s="118">
        <f t="shared" si="16"/>
        <v>143.39999999999998</v>
      </c>
      <c r="AG108" s="119"/>
      <c r="AH108" s="52">
        <f t="shared" si="9"/>
        <v>394.89708333333334</v>
      </c>
      <c r="AI108" s="53">
        <f t="shared" si="10"/>
        <v>0</v>
      </c>
    </row>
    <row r="109" spans="1:88" x14ac:dyDescent="0.25">
      <c r="A109" s="107" t="s">
        <v>117</v>
      </c>
      <c r="B109" s="120">
        <v>-6.4</v>
      </c>
      <c r="C109" s="120">
        <v>-6.8</v>
      </c>
      <c r="D109" s="120">
        <v>-7.8</v>
      </c>
      <c r="E109" s="120">
        <v>-25.2</v>
      </c>
      <c r="F109" s="120">
        <v>-24.4</v>
      </c>
      <c r="G109" s="120">
        <v>-22.3</v>
      </c>
      <c r="H109" s="120">
        <v>-15.1</v>
      </c>
      <c r="I109" s="120">
        <v>-12.1</v>
      </c>
      <c r="J109" s="120">
        <v>-10.6</v>
      </c>
      <c r="K109" s="120">
        <v>1.7</v>
      </c>
      <c r="L109" s="120">
        <v>1.1000000000000001</v>
      </c>
      <c r="M109" s="120">
        <v>0</v>
      </c>
      <c r="N109" s="120">
        <v>1.5</v>
      </c>
      <c r="O109" s="120">
        <v>11.6</v>
      </c>
      <c r="P109" s="120">
        <v>19.100000000000001</v>
      </c>
      <c r="Q109" s="120">
        <v>15.7</v>
      </c>
      <c r="R109" s="120"/>
      <c r="S109" s="120">
        <v>22</v>
      </c>
      <c r="T109" s="120">
        <v>25.3</v>
      </c>
      <c r="U109" s="120">
        <v>24.5</v>
      </c>
      <c r="V109" s="120">
        <v>21.7</v>
      </c>
      <c r="W109" s="120">
        <v>16.8</v>
      </c>
      <c r="X109" s="120">
        <v>13.2</v>
      </c>
      <c r="Y109" s="120">
        <v>6.5</v>
      </c>
      <c r="Z109" s="120">
        <v>23.1</v>
      </c>
      <c r="AA109" s="120">
        <v>30</v>
      </c>
      <c r="AB109" s="120">
        <v>25</v>
      </c>
      <c r="AC109" s="120">
        <v>22.3</v>
      </c>
      <c r="AD109" s="120">
        <v>12.4</v>
      </c>
      <c r="AE109" s="120">
        <v>7.1</v>
      </c>
      <c r="AF109" s="120">
        <v>-3.8</v>
      </c>
      <c r="AG109" s="121">
        <v>75</v>
      </c>
      <c r="AH109" s="52">
        <f t="shared" si="9"/>
        <v>30</v>
      </c>
      <c r="AI109" s="53">
        <f t="shared" si="10"/>
        <v>-25.2</v>
      </c>
    </row>
    <row r="110" spans="1:88" x14ac:dyDescent="0.25">
      <c r="A110" s="110" t="s">
        <v>118</v>
      </c>
      <c r="B110" s="122">
        <v>-3.6</v>
      </c>
      <c r="C110" s="122">
        <v>-4.5</v>
      </c>
      <c r="D110" s="122">
        <v>-5.2</v>
      </c>
      <c r="E110" s="122">
        <v>-31.8</v>
      </c>
      <c r="F110" s="122">
        <v>-30.7</v>
      </c>
      <c r="G110" s="122">
        <v>-28.2</v>
      </c>
      <c r="H110" s="122">
        <v>-21.9</v>
      </c>
      <c r="I110" s="122">
        <v>-16.2</v>
      </c>
      <c r="J110" s="122">
        <v>-16.3</v>
      </c>
      <c r="K110" s="122">
        <v>-4</v>
      </c>
      <c r="L110" s="122">
        <v>-5.7</v>
      </c>
      <c r="M110" s="122">
        <v>-5.0999999999999996</v>
      </c>
      <c r="N110" s="122">
        <v>-2.9</v>
      </c>
      <c r="O110" s="122">
        <v>11</v>
      </c>
      <c r="P110" s="122">
        <v>23.9</v>
      </c>
      <c r="Q110" s="122">
        <v>20.100000000000001</v>
      </c>
      <c r="R110" s="122"/>
      <c r="S110" s="122">
        <v>27.1</v>
      </c>
      <c r="T110" s="122">
        <v>32.299999999999997</v>
      </c>
      <c r="U110" s="122">
        <v>30</v>
      </c>
      <c r="V110" s="122">
        <v>24.8</v>
      </c>
      <c r="W110" s="122">
        <v>20</v>
      </c>
      <c r="X110" s="122">
        <v>15</v>
      </c>
      <c r="Y110" s="122">
        <v>5.5</v>
      </c>
      <c r="Z110" s="122">
        <v>28.2</v>
      </c>
      <c r="AA110" s="122">
        <v>36.799999999999997</v>
      </c>
      <c r="AB110" s="122">
        <v>33</v>
      </c>
      <c r="AC110" s="122">
        <v>30.7</v>
      </c>
      <c r="AD110" s="122">
        <v>14.8</v>
      </c>
      <c r="AE110" s="122">
        <v>8.9</v>
      </c>
      <c r="AF110" s="122">
        <v>-6.9</v>
      </c>
      <c r="AG110" s="121">
        <v>240</v>
      </c>
      <c r="AH110" s="52">
        <f t="shared" si="9"/>
        <v>36.799999999999997</v>
      </c>
      <c r="AI110" s="53">
        <f t="shared" si="10"/>
        <v>-31.8</v>
      </c>
    </row>
    <row r="111" spans="1:88" x14ac:dyDescent="0.25">
      <c r="A111" s="110" t="s">
        <v>119</v>
      </c>
      <c r="B111" s="122">
        <f>-18.6-28.5</f>
        <v>-47.1</v>
      </c>
      <c r="C111" s="122">
        <f>-22.1-32.1</f>
        <v>-54.2</v>
      </c>
      <c r="D111" s="122">
        <f>-21.4-32.9</f>
        <v>-54.3</v>
      </c>
      <c r="E111" s="122">
        <v>-33</v>
      </c>
      <c r="F111" s="122">
        <v>-32.200000000000003</v>
      </c>
      <c r="G111" s="122">
        <v>-23.7</v>
      </c>
      <c r="H111" s="122">
        <v>-16</v>
      </c>
      <c r="I111" s="122">
        <v>15</v>
      </c>
      <c r="J111" s="122">
        <v>16.899999999999999</v>
      </c>
      <c r="K111" s="122">
        <v>28.4</v>
      </c>
      <c r="L111" s="122">
        <v>34</v>
      </c>
      <c r="M111" s="122">
        <v>43</v>
      </c>
      <c r="N111" s="122">
        <v>35</v>
      </c>
      <c r="O111" s="122">
        <f>11.2+7.2</f>
        <v>18.399999999999999</v>
      </c>
      <c r="P111" s="122">
        <v>-8</v>
      </c>
      <c r="Q111" s="122">
        <v>-9.8000000000000007</v>
      </c>
      <c r="R111" s="122"/>
      <c r="S111" s="122">
        <v>-34.200000000000003</v>
      </c>
      <c r="T111" s="122">
        <v>-47.5</v>
      </c>
      <c r="U111" s="122">
        <v>-7</v>
      </c>
      <c r="V111" s="122">
        <v>11.5</v>
      </c>
      <c r="W111" s="122">
        <v>10</v>
      </c>
      <c r="X111" s="122">
        <v>55</v>
      </c>
      <c r="Y111" s="122">
        <v>68</v>
      </c>
      <c r="Z111" s="122">
        <v>44.2</v>
      </c>
      <c r="AA111" s="122">
        <v>20.100000000000001</v>
      </c>
      <c r="AB111" s="122">
        <v>23</v>
      </c>
      <c r="AC111" s="122">
        <v>17</v>
      </c>
      <c r="AD111" s="122">
        <v>16</v>
      </c>
      <c r="AE111" s="122">
        <v>-33</v>
      </c>
      <c r="AF111" s="122">
        <f>-19-30</f>
        <v>-49</v>
      </c>
      <c r="AG111" s="121">
        <v>240</v>
      </c>
      <c r="AH111" s="52">
        <f t="shared" si="9"/>
        <v>68</v>
      </c>
      <c r="AI111" s="53">
        <f t="shared" si="10"/>
        <v>-54.3</v>
      </c>
    </row>
    <row r="112" spans="1:88" x14ac:dyDescent="0.25">
      <c r="A112" s="110" t="s">
        <v>120</v>
      </c>
      <c r="B112" s="122">
        <v>33.200000000000003</v>
      </c>
      <c r="C112" s="122">
        <v>30.4</v>
      </c>
      <c r="D112" s="122">
        <v>30.7</v>
      </c>
      <c r="E112" s="122">
        <v>33.6</v>
      </c>
      <c r="F112" s="122">
        <v>35.1</v>
      </c>
      <c r="G112" s="122">
        <v>35.200000000000003</v>
      </c>
      <c r="H112" s="122">
        <v>37.9</v>
      </c>
      <c r="I112" s="122">
        <v>33.799999999999997</v>
      </c>
      <c r="J112" s="122">
        <v>35.9</v>
      </c>
      <c r="K112" s="122">
        <v>41.9</v>
      </c>
      <c r="L112" s="122">
        <v>50.9</v>
      </c>
      <c r="M112" s="122">
        <v>50.3</v>
      </c>
      <c r="N112" s="122">
        <v>40.5</v>
      </c>
      <c r="O112" s="122">
        <v>37.6</v>
      </c>
      <c r="P112" s="122">
        <v>40.9</v>
      </c>
      <c r="Q112" s="122">
        <v>38</v>
      </c>
      <c r="R112" s="122"/>
      <c r="S112" s="122">
        <v>28.3</v>
      </c>
      <c r="T112" s="122">
        <v>26.7</v>
      </c>
      <c r="U112" s="122">
        <v>0</v>
      </c>
      <c r="V112" s="122">
        <v>0</v>
      </c>
      <c r="W112" s="122">
        <v>0</v>
      </c>
      <c r="X112" s="122">
        <v>0</v>
      </c>
      <c r="Y112" s="122">
        <v>29.9</v>
      </c>
      <c r="Z112" s="122">
        <v>32.6</v>
      </c>
      <c r="AA112" s="122">
        <v>28.4</v>
      </c>
      <c r="AB112" s="122">
        <v>26</v>
      </c>
      <c r="AC112" s="122">
        <v>26</v>
      </c>
      <c r="AD112" s="122">
        <v>26</v>
      </c>
      <c r="AE112" s="122">
        <v>33</v>
      </c>
      <c r="AF112" s="122">
        <v>32</v>
      </c>
      <c r="AG112" s="121">
        <v>60</v>
      </c>
      <c r="AH112" s="52">
        <f t="shared" si="9"/>
        <v>50.9</v>
      </c>
      <c r="AI112" s="53">
        <f t="shared" si="10"/>
        <v>0</v>
      </c>
    </row>
    <row r="113" spans="1:37" x14ac:dyDescent="0.25">
      <c r="A113" s="123" t="s">
        <v>121</v>
      </c>
      <c r="B113" s="124">
        <v>53.3</v>
      </c>
      <c r="C113" s="124">
        <v>56.5</v>
      </c>
      <c r="D113" s="124">
        <v>55.4</v>
      </c>
      <c r="E113" s="124">
        <v>77.7</v>
      </c>
      <c r="F113" s="124">
        <v>73.099999999999994</v>
      </c>
      <c r="G113" s="124">
        <v>79.900000000000006</v>
      </c>
      <c r="H113" s="124">
        <v>83.2</v>
      </c>
      <c r="I113" s="124">
        <v>105</v>
      </c>
      <c r="J113" s="124">
        <v>104</v>
      </c>
      <c r="K113" s="124">
        <v>90</v>
      </c>
      <c r="L113" s="124">
        <v>96</v>
      </c>
      <c r="M113" s="124">
        <v>99.8</v>
      </c>
      <c r="N113" s="124">
        <v>99</v>
      </c>
      <c r="O113" s="124">
        <v>97.1</v>
      </c>
      <c r="P113" s="124">
        <v>96.3</v>
      </c>
      <c r="Q113" s="124">
        <v>96.8</v>
      </c>
      <c r="R113" s="124"/>
      <c r="S113" s="124">
        <v>98</v>
      </c>
      <c r="T113" s="124">
        <v>96</v>
      </c>
      <c r="U113" s="124">
        <v>98.4</v>
      </c>
      <c r="V113" s="124">
        <v>98.8</v>
      </c>
      <c r="W113" s="124">
        <v>96.8</v>
      </c>
      <c r="X113" s="124">
        <v>105.8</v>
      </c>
      <c r="Y113" s="124">
        <v>111</v>
      </c>
      <c r="Z113" s="124">
        <v>110.2</v>
      </c>
      <c r="AA113" s="124">
        <v>109</v>
      </c>
      <c r="AB113" s="124">
        <v>95.3</v>
      </c>
      <c r="AC113" s="124">
        <v>91.5</v>
      </c>
      <c r="AD113" s="124">
        <v>96.3</v>
      </c>
      <c r="AE113" s="124">
        <v>76.3</v>
      </c>
      <c r="AF113" s="124">
        <v>82.6</v>
      </c>
      <c r="AG113" s="125">
        <v>120</v>
      </c>
      <c r="AH113" s="52">
        <f t="shared" si="9"/>
        <v>111</v>
      </c>
      <c r="AI113" s="53">
        <f t="shared" si="10"/>
        <v>53.3</v>
      </c>
    </row>
    <row r="114" spans="1:37" x14ac:dyDescent="0.25">
      <c r="A114" s="123" t="s">
        <v>122</v>
      </c>
      <c r="B114" s="124">
        <v>66</v>
      </c>
      <c r="C114" s="124">
        <v>76.8</v>
      </c>
      <c r="D114" s="124">
        <v>72.400000000000006</v>
      </c>
      <c r="E114" s="124">
        <v>90.6</v>
      </c>
      <c r="F114" s="124">
        <v>88.9</v>
      </c>
      <c r="G114" s="124">
        <v>94</v>
      </c>
      <c r="H114" s="124">
        <v>90.3</v>
      </c>
      <c r="I114" s="124">
        <v>100.9</v>
      </c>
      <c r="J114" s="124">
        <v>98.3</v>
      </c>
      <c r="K114" s="124">
        <v>76.2</v>
      </c>
      <c r="L114" s="124">
        <v>82.6</v>
      </c>
      <c r="M114" s="124">
        <v>83.7</v>
      </c>
      <c r="N114" s="124">
        <v>84.6</v>
      </c>
      <c r="O114" s="124">
        <v>87.8</v>
      </c>
      <c r="P114" s="124">
        <v>101</v>
      </c>
      <c r="Q114" s="124">
        <v>99.4</v>
      </c>
      <c r="R114" s="124"/>
      <c r="S114" s="124">
        <v>100.1</v>
      </c>
      <c r="T114" s="124">
        <v>101.74</v>
      </c>
      <c r="U114" s="124">
        <v>99.4</v>
      </c>
      <c r="V114" s="124">
        <v>83.2</v>
      </c>
      <c r="W114" s="124">
        <v>88</v>
      </c>
      <c r="X114" s="124">
        <v>89.9</v>
      </c>
      <c r="Y114" s="124">
        <v>86.2</v>
      </c>
      <c r="Z114" s="124">
        <v>83.2</v>
      </c>
      <c r="AA114" s="124">
        <v>90.5</v>
      </c>
      <c r="AB114" s="124">
        <v>79</v>
      </c>
      <c r="AC114" s="124">
        <v>79</v>
      </c>
      <c r="AD114" s="124">
        <v>87</v>
      </c>
      <c r="AE114" s="124">
        <v>78.5</v>
      </c>
      <c r="AF114" s="124">
        <v>85</v>
      </c>
      <c r="AG114" s="125"/>
      <c r="AH114" s="52">
        <f t="shared" si="9"/>
        <v>101.74</v>
      </c>
      <c r="AI114" s="53">
        <f t="shared" si="10"/>
        <v>66</v>
      </c>
    </row>
    <row r="115" spans="1:37" x14ac:dyDescent="0.25">
      <c r="A115" s="123" t="s">
        <v>123</v>
      </c>
      <c r="B115" s="124">
        <v>45.8</v>
      </c>
      <c r="C115" s="124">
        <v>45.3</v>
      </c>
      <c r="D115" s="124">
        <v>43.9</v>
      </c>
      <c r="E115" s="124">
        <v>55.5</v>
      </c>
      <c r="F115" s="124">
        <v>54.9</v>
      </c>
      <c r="G115" s="124">
        <v>51.2</v>
      </c>
      <c r="H115" s="124">
        <v>56.7</v>
      </c>
      <c r="I115" s="124">
        <v>43.3</v>
      </c>
      <c r="J115" s="124">
        <v>36.5</v>
      </c>
      <c r="K115" s="124">
        <v>33.299999999999997</v>
      </c>
      <c r="L115" s="124">
        <v>31.5</v>
      </c>
      <c r="M115" s="124">
        <v>35</v>
      </c>
      <c r="N115" s="124">
        <v>36.1</v>
      </c>
      <c r="O115" s="124">
        <v>-45.1</v>
      </c>
      <c r="P115" s="124">
        <v>27.6</v>
      </c>
      <c r="Q115" s="124">
        <v>28.1</v>
      </c>
      <c r="R115" s="124"/>
      <c r="S115" s="124">
        <v>28.1</v>
      </c>
      <c r="T115" s="124">
        <v>26.3</v>
      </c>
      <c r="U115" s="124">
        <v>35</v>
      </c>
      <c r="V115" s="124">
        <v>29</v>
      </c>
      <c r="W115" s="124">
        <v>13.9</v>
      </c>
      <c r="X115" s="124">
        <v>12.2</v>
      </c>
      <c r="Y115" s="124">
        <v>20.100000000000001</v>
      </c>
      <c r="Z115" s="124">
        <v>24.7</v>
      </c>
      <c r="AA115" s="124">
        <v>25.1</v>
      </c>
      <c r="AB115" s="124">
        <v>20.3</v>
      </c>
      <c r="AC115" s="124">
        <v>29</v>
      </c>
      <c r="AD115" s="124">
        <v>34</v>
      </c>
      <c r="AE115" s="124">
        <v>48.4</v>
      </c>
      <c r="AF115" s="124">
        <v>57.3</v>
      </c>
      <c r="AG115" s="126"/>
      <c r="AH115" s="52">
        <f t="shared" si="9"/>
        <v>57.3</v>
      </c>
      <c r="AI115" s="53">
        <f t="shared" si="10"/>
        <v>-45.1</v>
      </c>
    </row>
    <row r="116" spans="1:37" x14ac:dyDescent="0.25">
      <c r="A116" s="127" t="s">
        <v>124</v>
      </c>
      <c r="B116" s="113">
        <v>-32</v>
      </c>
      <c r="C116" s="113">
        <v>-28.2</v>
      </c>
      <c r="D116" s="113">
        <v>-28.4</v>
      </c>
      <c r="E116" s="113">
        <v>-23.2</v>
      </c>
      <c r="F116" s="113">
        <v>-20.9</v>
      </c>
      <c r="G116" s="113">
        <v>-22</v>
      </c>
      <c r="H116" s="113">
        <v>-24.3</v>
      </c>
      <c r="I116" s="113">
        <v>-27.2</v>
      </c>
      <c r="J116" s="113">
        <v>-28.2</v>
      </c>
      <c r="K116" s="113">
        <v>-33.5</v>
      </c>
      <c r="L116" s="113">
        <v>-36.299999999999997</v>
      </c>
      <c r="M116" s="113">
        <v>-38.799999999999997</v>
      </c>
      <c r="N116" s="113">
        <v>-41.4</v>
      </c>
      <c r="O116" s="113">
        <v>-44.9</v>
      </c>
      <c r="P116" s="113">
        <v>-41.8</v>
      </c>
      <c r="Q116" s="113">
        <v>-38.799999999999997</v>
      </c>
      <c r="R116" s="113"/>
      <c r="S116" s="113">
        <v>-38.799999999999997</v>
      </c>
      <c r="T116" s="113">
        <v>-48.5</v>
      </c>
      <c r="U116" s="113">
        <v>-7.7</v>
      </c>
      <c r="V116" s="113">
        <v>-34.200000000000003</v>
      </c>
      <c r="W116" s="113">
        <v>-42.7</v>
      </c>
      <c r="X116" s="113">
        <v>-46.9</v>
      </c>
      <c r="Y116" s="113">
        <v>-53.7</v>
      </c>
      <c r="Z116" s="113">
        <v>-26</v>
      </c>
      <c r="AA116" s="113">
        <v>-37.700000000000003</v>
      </c>
      <c r="AB116" s="113">
        <v>-54.3</v>
      </c>
      <c r="AC116" s="113">
        <v>-50.8</v>
      </c>
      <c r="AD116" s="113">
        <v>-51.7</v>
      </c>
      <c r="AE116" s="113">
        <v>-38.5</v>
      </c>
      <c r="AF116" s="113">
        <v>-37.4</v>
      </c>
      <c r="AG116" s="126"/>
      <c r="AH116" s="52">
        <f t="shared" si="9"/>
        <v>-7.7</v>
      </c>
      <c r="AI116" s="53">
        <f t="shared" si="10"/>
        <v>-54.3</v>
      </c>
    </row>
    <row r="117" spans="1:37" ht="15.75" thickBot="1" x14ac:dyDescent="0.3">
      <c r="A117" s="127" t="s">
        <v>125</v>
      </c>
      <c r="B117" s="113">
        <v>111.5</v>
      </c>
      <c r="C117" s="113">
        <v>108.5</v>
      </c>
      <c r="D117" s="113">
        <v>107.5</v>
      </c>
      <c r="E117" s="113">
        <v>107</v>
      </c>
      <c r="F117" s="113">
        <v>97.8</v>
      </c>
      <c r="G117" s="113">
        <v>93</v>
      </c>
      <c r="H117" s="113">
        <v>91.6</v>
      </c>
      <c r="I117" s="113">
        <v>78.599999999999994</v>
      </c>
      <c r="J117" s="113">
        <v>81.3</v>
      </c>
      <c r="K117" s="113">
        <v>103</v>
      </c>
      <c r="L117" s="113">
        <v>113</v>
      </c>
      <c r="M117" s="113">
        <v>114.2</v>
      </c>
      <c r="N117" s="113">
        <v>114</v>
      </c>
      <c r="O117" s="113">
        <v>116</v>
      </c>
      <c r="P117" s="113">
        <v>117</v>
      </c>
      <c r="Q117" s="113">
        <v>120.5</v>
      </c>
      <c r="R117" s="113"/>
      <c r="S117" s="113">
        <v>120.5</v>
      </c>
      <c r="T117" s="113">
        <v>58.8</v>
      </c>
      <c r="U117" s="113">
        <v>0</v>
      </c>
      <c r="V117" s="113">
        <v>64.5</v>
      </c>
      <c r="W117" s="113">
        <v>62.3</v>
      </c>
      <c r="X117" s="113">
        <v>61</v>
      </c>
      <c r="Y117" s="113">
        <v>64</v>
      </c>
      <c r="Z117" s="113">
        <v>58</v>
      </c>
      <c r="AA117" s="113">
        <v>57.2</v>
      </c>
      <c r="AB117" s="113">
        <v>72</v>
      </c>
      <c r="AC117" s="113">
        <v>71</v>
      </c>
      <c r="AD117" s="113">
        <v>71</v>
      </c>
      <c r="AE117" s="113">
        <v>110</v>
      </c>
      <c r="AF117" s="113">
        <v>115</v>
      </c>
      <c r="AG117" s="126"/>
      <c r="AH117" s="52">
        <f t="shared" si="9"/>
        <v>120.5</v>
      </c>
      <c r="AI117" s="53">
        <f t="shared" si="10"/>
        <v>0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17">SUM(B119:B223)</f>
        <v>0</v>
      </c>
      <c r="C224" s="144">
        <f t="shared" si="17"/>
        <v>0</v>
      </c>
      <c r="D224" s="144">
        <f t="shared" si="17"/>
        <v>0</v>
      </c>
      <c r="E224" s="144">
        <f t="shared" si="17"/>
        <v>0</v>
      </c>
      <c r="F224" s="144">
        <f t="shared" si="17"/>
        <v>0</v>
      </c>
      <c r="G224" s="144">
        <f t="shared" si="17"/>
        <v>0</v>
      </c>
      <c r="H224" s="144">
        <f t="shared" si="17"/>
        <v>0</v>
      </c>
      <c r="I224" s="144">
        <f t="shared" si="17"/>
        <v>0</v>
      </c>
      <c r="J224" s="144">
        <f t="shared" si="17"/>
        <v>0</v>
      </c>
      <c r="K224" s="144">
        <f t="shared" si="17"/>
        <v>0</v>
      </c>
      <c r="L224" s="144">
        <f t="shared" si="17"/>
        <v>0</v>
      </c>
      <c r="M224" s="144">
        <f t="shared" si="17"/>
        <v>0</v>
      </c>
      <c r="N224" s="144">
        <f t="shared" si="17"/>
        <v>0</v>
      </c>
      <c r="O224" s="144">
        <f t="shared" si="17"/>
        <v>0</v>
      </c>
      <c r="P224" s="144">
        <f t="shared" si="17"/>
        <v>0</v>
      </c>
      <c r="Q224" s="144">
        <f t="shared" si="17"/>
        <v>0</v>
      </c>
      <c r="R224" s="144">
        <f t="shared" si="17"/>
        <v>0</v>
      </c>
      <c r="S224" s="144">
        <f t="shared" si="17"/>
        <v>0</v>
      </c>
      <c r="T224" s="144">
        <f t="shared" si="17"/>
        <v>0</v>
      </c>
      <c r="U224" s="144">
        <f t="shared" si="17"/>
        <v>0</v>
      </c>
      <c r="V224" s="144">
        <f t="shared" si="17"/>
        <v>0</v>
      </c>
      <c r="W224" s="144">
        <f t="shared" si="17"/>
        <v>0</v>
      </c>
      <c r="X224" s="144">
        <f t="shared" si="17"/>
        <v>0</v>
      </c>
      <c r="Y224" s="144">
        <f t="shared" si="17"/>
        <v>0</v>
      </c>
      <c r="Z224" s="144">
        <f t="shared" si="17"/>
        <v>0</v>
      </c>
      <c r="AA224" s="144">
        <f t="shared" si="17"/>
        <v>0</v>
      </c>
      <c r="AB224" s="144">
        <f t="shared" si="17"/>
        <v>0</v>
      </c>
      <c r="AC224" s="144">
        <f t="shared" si="17"/>
        <v>0</v>
      </c>
      <c r="AD224" s="144">
        <f t="shared" si="17"/>
        <v>0</v>
      </c>
      <c r="AE224" s="144">
        <f t="shared" si="17"/>
        <v>0</v>
      </c>
      <c r="AF224" s="145">
        <f t="shared" si="17"/>
        <v>0</v>
      </c>
      <c r="AG224" s="146">
        <f t="shared" si="17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18">AF226</f>
        <v>0</v>
      </c>
      <c r="C226" s="149">
        <v>0.3</v>
      </c>
      <c r="D226" s="149">
        <f t="shared" ref="D226:P231" si="19">C226</f>
        <v>0.3</v>
      </c>
      <c r="E226" s="149">
        <f t="shared" si="19"/>
        <v>0.3</v>
      </c>
      <c r="F226" s="149">
        <f t="shared" si="19"/>
        <v>0.3</v>
      </c>
      <c r="G226" s="149">
        <f t="shared" si="19"/>
        <v>0.3</v>
      </c>
      <c r="H226" s="149">
        <f t="shared" si="19"/>
        <v>0.3</v>
      </c>
      <c r="I226" s="149">
        <f t="shared" si="19"/>
        <v>0.3</v>
      </c>
      <c r="J226" s="149">
        <f t="shared" si="19"/>
        <v>0.3</v>
      </c>
      <c r="K226" s="149">
        <f t="shared" si="19"/>
        <v>0.3</v>
      </c>
      <c r="L226" s="149">
        <f t="shared" si="19"/>
        <v>0.3</v>
      </c>
      <c r="M226" s="149">
        <f t="shared" si="19"/>
        <v>0.3</v>
      </c>
      <c r="N226" s="149">
        <f t="shared" si="19"/>
        <v>0.3</v>
      </c>
      <c r="O226" s="149">
        <f t="shared" si="19"/>
        <v>0.3</v>
      </c>
      <c r="P226" s="149">
        <f t="shared" si="19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18"/>
        <v>0</v>
      </c>
      <c r="C227" s="136">
        <v>0.4</v>
      </c>
      <c r="D227" s="136">
        <f t="shared" si="19"/>
        <v>0.4</v>
      </c>
      <c r="E227" s="136">
        <f t="shared" si="19"/>
        <v>0.4</v>
      </c>
      <c r="F227" s="136">
        <f t="shared" si="19"/>
        <v>0.4</v>
      </c>
      <c r="G227" s="136">
        <f t="shared" si="19"/>
        <v>0.4</v>
      </c>
      <c r="H227" s="136">
        <f t="shared" si="19"/>
        <v>0.4</v>
      </c>
      <c r="I227" s="136">
        <f t="shared" si="19"/>
        <v>0.4</v>
      </c>
      <c r="J227" s="136">
        <f t="shared" si="19"/>
        <v>0.4</v>
      </c>
      <c r="K227" s="136">
        <f t="shared" si="19"/>
        <v>0.4</v>
      </c>
      <c r="L227" s="136">
        <f t="shared" si="19"/>
        <v>0.4</v>
      </c>
      <c r="M227" s="136">
        <f t="shared" si="19"/>
        <v>0.4</v>
      </c>
      <c r="N227" s="136">
        <f t="shared" si="19"/>
        <v>0.4</v>
      </c>
      <c r="O227" s="136">
        <f t="shared" si="19"/>
        <v>0.4</v>
      </c>
      <c r="P227" s="136">
        <f t="shared" si="19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18"/>
        <v>0</v>
      </c>
      <c r="C228" s="136">
        <v>1.5</v>
      </c>
      <c r="D228" s="136">
        <f t="shared" si="19"/>
        <v>1.5</v>
      </c>
      <c r="E228" s="136">
        <f t="shared" si="19"/>
        <v>1.5</v>
      </c>
      <c r="F228" s="136">
        <f t="shared" si="19"/>
        <v>1.5</v>
      </c>
      <c r="G228" s="136">
        <f t="shared" si="19"/>
        <v>1.5</v>
      </c>
      <c r="H228" s="136">
        <f t="shared" si="19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19"/>
        <v>1.5</v>
      </c>
      <c r="K228" s="136">
        <f t="shared" ca="1" si="19"/>
        <v>1.5</v>
      </c>
      <c r="L228" s="136">
        <f t="shared" ca="1" si="19"/>
        <v>1.5</v>
      </c>
      <c r="M228" s="136">
        <f t="shared" ca="1" si="19"/>
        <v>1.5</v>
      </c>
      <c r="N228" s="136">
        <f t="shared" ca="1" si="19"/>
        <v>1.5</v>
      </c>
      <c r="O228" s="136">
        <f t="shared" ca="1" si="19"/>
        <v>1.5</v>
      </c>
      <c r="P228" s="136">
        <f t="shared" ca="1" si="19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18"/>
        <v>0</v>
      </c>
      <c r="C229" s="136">
        <v>0.3</v>
      </c>
      <c r="D229" s="136">
        <f t="shared" si="19"/>
        <v>0.3</v>
      </c>
      <c r="E229" s="136">
        <f t="shared" si="19"/>
        <v>0.3</v>
      </c>
      <c r="F229" s="136">
        <f t="shared" si="19"/>
        <v>0.3</v>
      </c>
      <c r="G229" s="136">
        <f t="shared" si="19"/>
        <v>0.3</v>
      </c>
      <c r="H229" s="136">
        <f t="shared" si="19"/>
        <v>0.3</v>
      </c>
      <c r="I229" s="136">
        <f t="shared" si="19"/>
        <v>0.3</v>
      </c>
      <c r="J229" s="136">
        <f t="shared" si="19"/>
        <v>0.3</v>
      </c>
      <c r="K229" s="136">
        <f t="shared" si="19"/>
        <v>0.3</v>
      </c>
      <c r="L229" s="136">
        <f t="shared" si="19"/>
        <v>0.3</v>
      </c>
      <c r="M229" s="136">
        <f t="shared" si="19"/>
        <v>0.3</v>
      </c>
      <c r="N229" s="136">
        <f t="shared" si="19"/>
        <v>0.3</v>
      </c>
      <c r="O229" s="136">
        <f t="shared" si="19"/>
        <v>0.3</v>
      </c>
      <c r="P229" s="136">
        <f t="shared" si="19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18"/>
        <v>0</v>
      </c>
      <c r="C230" s="136">
        <v>0.4</v>
      </c>
      <c r="D230" s="136">
        <f t="shared" si="19"/>
        <v>0.4</v>
      </c>
      <c r="E230" s="136">
        <f t="shared" si="19"/>
        <v>0.4</v>
      </c>
      <c r="F230" s="136">
        <f t="shared" si="19"/>
        <v>0.4</v>
      </c>
      <c r="G230" s="136">
        <f t="shared" si="19"/>
        <v>0.4</v>
      </c>
      <c r="H230" s="136">
        <f t="shared" si="19"/>
        <v>0.4</v>
      </c>
      <c r="I230" s="136">
        <f t="shared" si="19"/>
        <v>0.4</v>
      </c>
      <c r="J230" s="136">
        <f t="shared" si="19"/>
        <v>0.4</v>
      </c>
      <c r="K230" s="136">
        <f t="shared" si="19"/>
        <v>0.4</v>
      </c>
      <c r="L230" s="136">
        <f t="shared" si="19"/>
        <v>0.4</v>
      </c>
      <c r="M230" s="136">
        <f t="shared" si="19"/>
        <v>0.4</v>
      </c>
      <c r="N230" s="136">
        <f t="shared" si="19"/>
        <v>0.4</v>
      </c>
      <c r="O230" s="136">
        <f t="shared" si="19"/>
        <v>0.4</v>
      </c>
      <c r="P230" s="136">
        <f t="shared" si="19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18"/>
        <v>0</v>
      </c>
      <c r="C231" s="140">
        <v>0.64</v>
      </c>
      <c r="D231" s="140">
        <f t="shared" si="19"/>
        <v>0.64</v>
      </c>
      <c r="E231" s="140">
        <f t="shared" si="19"/>
        <v>0.64</v>
      </c>
      <c r="F231" s="140">
        <f t="shared" si="19"/>
        <v>0.64</v>
      </c>
      <c r="G231" s="140">
        <f t="shared" si="19"/>
        <v>0.64</v>
      </c>
      <c r="H231" s="140">
        <f t="shared" si="19"/>
        <v>0.64</v>
      </c>
      <c r="I231" s="140">
        <f t="shared" si="19"/>
        <v>0.64</v>
      </c>
      <c r="J231" s="140">
        <f t="shared" si="19"/>
        <v>0.64</v>
      </c>
      <c r="K231" s="140">
        <f t="shared" si="19"/>
        <v>0.64</v>
      </c>
      <c r="L231" s="140">
        <f t="shared" si="19"/>
        <v>0.64</v>
      </c>
      <c r="M231" s="140">
        <f t="shared" si="19"/>
        <v>0.64</v>
      </c>
      <c r="N231" s="140">
        <f t="shared" si="19"/>
        <v>0.64</v>
      </c>
      <c r="O231" s="140">
        <f t="shared" si="19"/>
        <v>0.64</v>
      </c>
      <c r="P231" s="140">
        <f t="shared" si="19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20">SUM(B226:B231)</f>
        <v>0</v>
      </c>
      <c r="C232" s="144">
        <f t="shared" si="20"/>
        <v>3.54</v>
      </c>
      <c r="D232" s="144">
        <f t="shared" si="20"/>
        <v>3.54</v>
      </c>
      <c r="E232" s="144">
        <f t="shared" si="20"/>
        <v>3.54</v>
      </c>
      <c r="F232" s="144">
        <f t="shared" si="20"/>
        <v>3.54</v>
      </c>
      <c r="G232" s="144">
        <f t="shared" si="20"/>
        <v>3.54</v>
      </c>
      <c r="H232" s="144">
        <f t="shared" si="20"/>
        <v>3.54</v>
      </c>
      <c r="I232" s="144">
        <f t="shared" ca="1" si="20"/>
        <v>3.54</v>
      </c>
      <c r="J232" s="144">
        <f t="shared" ca="1" si="20"/>
        <v>3.54</v>
      </c>
      <c r="K232" s="144">
        <f t="shared" ca="1" si="20"/>
        <v>3.54</v>
      </c>
      <c r="L232" s="144">
        <f t="shared" ca="1" si="20"/>
        <v>3.54</v>
      </c>
      <c r="M232" s="144">
        <f t="shared" ca="1" si="20"/>
        <v>3.54</v>
      </c>
      <c r="N232" s="144">
        <f t="shared" ca="1" si="20"/>
        <v>3.54</v>
      </c>
      <c r="O232" s="144">
        <f t="shared" ca="1" si="20"/>
        <v>3.54</v>
      </c>
      <c r="P232" s="144">
        <f t="shared" ca="1" si="20"/>
        <v>3.54</v>
      </c>
      <c r="Q232" s="144">
        <f t="shared" si="20"/>
        <v>0</v>
      </c>
      <c r="R232" s="144">
        <f t="shared" si="20"/>
        <v>0</v>
      </c>
      <c r="S232" s="144">
        <f t="shared" si="20"/>
        <v>0</v>
      </c>
      <c r="T232" s="144">
        <f t="shared" si="20"/>
        <v>0</v>
      </c>
      <c r="U232" s="144">
        <f t="shared" si="20"/>
        <v>0</v>
      </c>
      <c r="V232" s="144">
        <f t="shared" si="20"/>
        <v>0</v>
      </c>
      <c r="W232" s="144">
        <f t="shared" si="20"/>
        <v>0</v>
      </c>
      <c r="X232" s="144">
        <f t="shared" si="20"/>
        <v>0</v>
      </c>
      <c r="Y232" s="144">
        <f t="shared" si="20"/>
        <v>0</v>
      </c>
      <c r="Z232" s="144">
        <f t="shared" si="20"/>
        <v>0</v>
      </c>
      <c r="AA232" s="144">
        <f t="shared" si="20"/>
        <v>0</v>
      </c>
      <c r="AB232" s="144">
        <f t="shared" si="20"/>
        <v>0</v>
      </c>
      <c r="AC232" s="144">
        <f t="shared" si="20"/>
        <v>0</v>
      </c>
      <c r="AD232" s="144">
        <f t="shared" si="20"/>
        <v>0</v>
      </c>
      <c r="AE232" s="144">
        <f t="shared" si="20"/>
        <v>0</v>
      </c>
      <c r="AF232" s="144">
        <f t="shared" si="20"/>
        <v>0</v>
      </c>
      <c r="AG232" s="154">
        <f t="shared" si="20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1487.2399999999998</v>
      </c>
      <c r="C241" s="170">
        <f>INDEX(G9:N9,1,MATCH(MAX(G89:N89),G89:N89,0))</f>
        <v>0.375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3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2080/1/3)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2080/1/3)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21">B89</f>
        <v>1240.9399999999998</v>
      </c>
      <c r="U246" s="180">
        <f t="shared" si="21"/>
        <v>1262.44</v>
      </c>
      <c r="V246" s="180">
        <f t="shared" si="21"/>
        <v>1267.3399999999999</v>
      </c>
      <c r="W246" s="180">
        <f t="shared" si="21"/>
        <v>1249.44</v>
      </c>
      <c r="X246" s="180">
        <f t="shared" si="21"/>
        <v>1230.2399999999998</v>
      </c>
      <c r="Y246" s="180">
        <f t="shared" si="21"/>
        <v>1225.1199999999999</v>
      </c>
      <c r="Z246" s="180">
        <f t="shared" si="21"/>
        <v>1247.8399999999997</v>
      </c>
      <c r="AA246" s="180">
        <f t="shared" si="21"/>
        <v>1219.04</v>
      </c>
      <c r="AB246" s="180">
        <f t="shared" si="21"/>
        <v>1348.44</v>
      </c>
      <c r="AC246" s="180">
        <f t="shared" si="21"/>
        <v>1418.54</v>
      </c>
      <c r="AD246" s="180">
        <f t="shared" si="21"/>
        <v>1445.44</v>
      </c>
      <c r="AE246" s="180">
        <f t="shared" si="21"/>
        <v>1481.94</v>
      </c>
      <c r="AF246" s="180">
        <f t="shared" si="21"/>
        <v>1487.2399999999998</v>
      </c>
      <c r="AG246" s="180">
        <f t="shared" si="21"/>
        <v>1610.1399999999999</v>
      </c>
      <c r="AH246" s="180">
        <f t="shared" si="21"/>
        <v>1464.34</v>
      </c>
      <c r="AI246" s="180">
        <f t="shared" si="21"/>
        <v>1468.24</v>
      </c>
      <c r="AJ246" s="180">
        <f t="shared" si="21"/>
        <v>3.54</v>
      </c>
      <c r="AK246" s="180">
        <f t="shared" si="21"/>
        <v>1355.1399999999999</v>
      </c>
      <c r="AL246" s="180">
        <f t="shared" si="21"/>
        <v>1484.34</v>
      </c>
      <c r="AM246" s="180">
        <f t="shared" si="21"/>
        <v>1381.54</v>
      </c>
      <c r="AN246" s="180">
        <f t="shared" si="21"/>
        <v>1433.62</v>
      </c>
      <c r="AO246" s="180">
        <f t="shared" si="21"/>
        <v>1517.94</v>
      </c>
      <c r="AP246" s="180">
        <f t="shared" si="21"/>
        <v>1525.34</v>
      </c>
      <c r="AQ246" s="180">
        <f t="shared" si="21"/>
        <v>1583.7399999999998</v>
      </c>
      <c r="AR246" s="180">
        <f t="shared" si="21"/>
        <v>1742.74</v>
      </c>
      <c r="AS246" s="180">
        <f t="shared" si="21"/>
        <v>1698.54</v>
      </c>
      <c r="AT246" s="180">
        <f t="shared" si="21"/>
        <v>1695.84</v>
      </c>
      <c r="AU246" s="180">
        <f t="shared" si="21"/>
        <v>1672.8400000000001</v>
      </c>
      <c r="AV246" s="180">
        <f t="shared" si="21"/>
        <v>1658.44</v>
      </c>
      <c r="AW246" s="180">
        <f t="shared" si="21"/>
        <v>1569.24</v>
      </c>
      <c r="AX246" s="180">
        <f t="shared" si="21"/>
        <v>1361.94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22">C231</f>
        <v>0.64</v>
      </c>
      <c r="C267" s="183">
        <f t="shared" si="22"/>
        <v>0.64</v>
      </c>
      <c r="D267" s="183">
        <f t="shared" si="22"/>
        <v>0.64</v>
      </c>
      <c r="E267" s="183">
        <f t="shared" si="22"/>
        <v>0.64</v>
      </c>
      <c r="F267" s="183">
        <f t="shared" si="22"/>
        <v>0.64</v>
      </c>
      <c r="G267" s="183">
        <f t="shared" si="22"/>
        <v>0.64</v>
      </c>
      <c r="H267" s="183">
        <f t="shared" si="22"/>
        <v>0.64</v>
      </c>
      <c r="I267" s="183">
        <f t="shared" si="22"/>
        <v>0.64</v>
      </c>
      <c r="J267" s="183">
        <f t="shared" si="22"/>
        <v>0.64</v>
      </c>
      <c r="K267" s="183">
        <f t="shared" si="22"/>
        <v>0.64</v>
      </c>
      <c r="L267" s="183">
        <f t="shared" si="22"/>
        <v>0.64</v>
      </c>
      <c r="M267" s="183">
        <f t="shared" si="22"/>
        <v>0.64</v>
      </c>
      <c r="N267" s="183">
        <f t="shared" si="22"/>
        <v>0.64</v>
      </c>
      <c r="O267" s="183">
        <f t="shared" si="22"/>
        <v>0.64</v>
      </c>
      <c r="P267" s="183">
        <f t="shared" si="22"/>
        <v>0</v>
      </c>
      <c r="Q267" s="183">
        <f t="shared" si="22"/>
        <v>0</v>
      </c>
      <c r="R267" s="183">
        <f t="shared" si="22"/>
        <v>0</v>
      </c>
      <c r="S267" s="183">
        <f t="shared" si="22"/>
        <v>0</v>
      </c>
      <c r="T267" s="183">
        <f t="shared" si="22"/>
        <v>0</v>
      </c>
      <c r="U267" s="183">
        <f t="shared" si="22"/>
        <v>0</v>
      </c>
      <c r="V267" s="183">
        <f t="shared" si="22"/>
        <v>0</v>
      </c>
      <c r="W267" s="183">
        <f t="shared" si="22"/>
        <v>0</v>
      </c>
      <c r="X267" s="183">
        <f t="shared" si="22"/>
        <v>0</v>
      </c>
      <c r="Y267" s="183">
        <f t="shared" si="22"/>
        <v>0</v>
      </c>
      <c r="Z267" s="183">
        <f t="shared" si="22"/>
        <v>0</v>
      </c>
      <c r="AA267" s="183">
        <f t="shared" si="22"/>
        <v>0</v>
      </c>
      <c r="AB267" s="183">
        <f t="shared" si="22"/>
        <v>0</v>
      </c>
      <c r="AC267" s="183">
        <f t="shared" si="22"/>
        <v>0</v>
      </c>
      <c r="AD267" s="183">
        <f t="shared" si="22"/>
        <v>0</v>
      </c>
      <c r="AE267" s="183">
        <f t="shared" si="22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23">IF(B235&lt;100,"",B235-520)</f>
        <v/>
      </c>
      <c r="C268" s="184" t="str">
        <f t="shared" si="23"/>
        <v/>
      </c>
      <c r="D268" s="184" t="str">
        <f t="shared" si="23"/>
        <v/>
      </c>
      <c r="E268" s="184" t="str">
        <f t="shared" si="23"/>
        <v/>
      </c>
      <c r="F268" s="184" t="str">
        <f t="shared" si="23"/>
        <v/>
      </c>
      <c r="G268" s="184" t="str">
        <f t="shared" si="23"/>
        <v/>
      </c>
      <c r="H268" s="184" t="str">
        <f t="shared" si="23"/>
        <v/>
      </c>
      <c r="I268" s="184" t="str">
        <f t="shared" si="23"/>
        <v/>
      </c>
      <c r="J268" s="184" t="str">
        <f t="shared" si="23"/>
        <v/>
      </c>
      <c r="K268" s="184" t="str">
        <f t="shared" si="23"/>
        <v/>
      </c>
      <c r="L268" s="184" t="str">
        <f t="shared" si="23"/>
        <v/>
      </c>
      <c r="M268" s="184" t="str">
        <f t="shared" si="23"/>
        <v/>
      </c>
      <c r="N268" s="184" t="str">
        <f t="shared" si="23"/>
        <v/>
      </c>
      <c r="O268" s="184" t="str">
        <f t="shared" si="23"/>
        <v/>
      </c>
      <c r="P268" s="184" t="str">
        <f t="shared" si="23"/>
        <v/>
      </c>
      <c r="Q268" s="184" t="str">
        <f t="shared" si="23"/>
        <v/>
      </c>
      <c r="R268" s="184" t="str">
        <f t="shared" si="23"/>
        <v/>
      </c>
      <c r="S268" s="184" t="str">
        <f t="shared" si="23"/>
        <v/>
      </c>
      <c r="T268" s="184" t="str">
        <f t="shared" si="23"/>
        <v/>
      </c>
      <c r="U268" s="184" t="str">
        <f t="shared" si="23"/>
        <v/>
      </c>
      <c r="V268" s="184" t="str">
        <f t="shared" si="23"/>
        <v/>
      </c>
      <c r="W268" s="184" t="str">
        <f t="shared" si="23"/>
        <v/>
      </c>
      <c r="X268" s="184" t="str">
        <f t="shared" si="23"/>
        <v/>
      </c>
      <c r="Y268" s="184" t="str">
        <f t="shared" si="23"/>
        <v/>
      </c>
      <c r="Z268" s="184" t="str">
        <f t="shared" si="23"/>
        <v/>
      </c>
      <c r="AA268" s="184" t="str">
        <f t="shared" si="23"/>
        <v/>
      </c>
      <c r="AB268" s="184" t="str">
        <f t="shared" si="23"/>
        <v/>
      </c>
      <c r="AC268" s="184" t="str">
        <f t="shared" si="23"/>
        <v/>
      </c>
      <c r="AD268" s="184" t="str">
        <f t="shared" si="23"/>
        <v/>
      </c>
      <c r="AE268" s="184" t="str">
        <f t="shared" si="23"/>
        <v/>
      </c>
      <c r="AF268" s="184" t="str">
        <f t="shared" si="23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24">IF(B236&lt;100,"",B236-620)</f>
        <v/>
      </c>
      <c r="C269" s="184" t="str">
        <f t="shared" si="24"/>
        <v/>
      </c>
      <c r="D269" s="184" t="str">
        <f t="shared" si="24"/>
        <v/>
      </c>
      <c r="E269" s="184" t="str">
        <f t="shared" si="24"/>
        <v/>
      </c>
      <c r="F269" s="184" t="str">
        <f t="shared" si="24"/>
        <v/>
      </c>
      <c r="G269" s="184" t="str">
        <f t="shared" si="24"/>
        <v/>
      </c>
      <c r="H269" s="184" t="str">
        <f t="shared" si="24"/>
        <v/>
      </c>
      <c r="I269" s="184" t="str">
        <f t="shared" si="24"/>
        <v/>
      </c>
      <c r="J269" s="184" t="str">
        <f t="shared" si="24"/>
        <v/>
      </c>
      <c r="K269" s="184" t="str">
        <f t="shared" si="24"/>
        <v/>
      </c>
      <c r="L269" s="184" t="str">
        <f t="shared" si="24"/>
        <v/>
      </c>
      <c r="M269" s="184" t="str">
        <f t="shared" si="24"/>
        <v/>
      </c>
      <c r="N269" s="184" t="str">
        <f t="shared" si="24"/>
        <v/>
      </c>
      <c r="O269" s="184" t="str">
        <f t="shared" si="24"/>
        <v/>
      </c>
      <c r="P269" s="184" t="str">
        <f t="shared" si="24"/>
        <v/>
      </c>
      <c r="Q269" s="184" t="str">
        <f t="shared" si="24"/>
        <v/>
      </c>
      <c r="R269" s="184" t="str">
        <f t="shared" si="24"/>
        <v/>
      </c>
      <c r="S269" s="184" t="str">
        <f t="shared" si="24"/>
        <v/>
      </c>
      <c r="T269" s="184" t="str">
        <f t="shared" si="24"/>
        <v/>
      </c>
      <c r="U269" s="184" t="str">
        <f t="shared" si="24"/>
        <v/>
      </c>
      <c r="V269" s="184" t="str">
        <f t="shared" si="24"/>
        <v/>
      </c>
      <c r="W269" s="184" t="str">
        <f t="shared" si="24"/>
        <v/>
      </c>
      <c r="X269" s="184" t="str">
        <f t="shared" si="24"/>
        <v/>
      </c>
      <c r="Y269" s="184" t="str">
        <f t="shared" si="24"/>
        <v/>
      </c>
      <c r="Z269" s="184" t="str">
        <f t="shared" si="24"/>
        <v/>
      </c>
      <c r="AA269" s="184" t="str">
        <f t="shared" si="24"/>
        <v/>
      </c>
      <c r="AB269" s="184" t="str">
        <f t="shared" si="24"/>
        <v/>
      </c>
      <c r="AC269" s="184" t="str">
        <f t="shared" si="24"/>
        <v/>
      </c>
      <c r="AD269" s="184" t="str">
        <f t="shared" si="24"/>
        <v/>
      </c>
      <c r="AE269" s="184" t="str">
        <f t="shared" si="24"/>
        <v/>
      </c>
      <c r="AF269" s="184" t="str">
        <f t="shared" si="24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25">IF(B237&lt;100,"",B237-330)</f>
        <v/>
      </c>
      <c r="C270" s="184" t="str">
        <f t="shared" si="25"/>
        <v/>
      </c>
      <c r="D270" s="184" t="str">
        <f t="shared" si="25"/>
        <v/>
      </c>
      <c r="E270" s="184" t="str">
        <f t="shared" si="25"/>
        <v/>
      </c>
      <c r="F270" s="184" t="str">
        <f t="shared" si="25"/>
        <v/>
      </c>
      <c r="G270" s="184" t="str">
        <f t="shared" si="25"/>
        <v/>
      </c>
      <c r="H270" s="184" t="str">
        <f t="shared" si="25"/>
        <v/>
      </c>
      <c r="I270" s="184" t="str">
        <f t="shared" si="25"/>
        <v/>
      </c>
      <c r="J270" s="184" t="str">
        <f t="shared" si="25"/>
        <v/>
      </c>
      <c r="K270" s="184" t="str">
        <f t="shared" si="25"/>
        <v/>
      </c>
      <c r="L270" s="184" t="str">
        <f t="shared" si="25"/>
        <v/>
      </c>
      <c r="M270" s="184" t="str">
        <f t="shared" si="25"/>
        <v/>
      </c>
      <c r="N270" s="184" t="str">
        <f t="shared" si="25"/>
        <v/>
      </c>
      <c r="O270" s="184" t="str">
        <f t="shared" si="25"/>
        <v/>
      </c>
      <c r="P270" s="184" t="str">
        <f t="shared" si="25"/>
        <v/>
      </c>
      <c r="Q270" s="184" t="str">
        <f t="shared" si="25"/>
        <v/>
      </c>
      <c r="R270" s="184" t="str">
        <f t="shared" si="25"/>
        <v/>
      </c>
      <c r="S270" s="184" t="str">
        <f t="shared" si="25"/>
        <v/>
      </c>
      <c r="T270" s="184" t="str">
        <f t="shared" si="25"/>
        <v/>
      </c>
      <c r="U270" s="184" t="str">
        <f t="shared" si="25"/>
        <v/>
      </c>
      <c r="V270" s="184" t="str">
        <f t="shared" si="25"/>
        <v/>
      </c>
      <c r="W270" s="184" t="str">
        <f t="shared" si="25"/>
        <v/>
      </c>
      <c r="X270" s="184" t="str">
        <f t="shared" si="25"/>
        <v/>
      </c>
      <c r="Y270" s="184" t="str">
        <f t="shared" si="25"/>
        <v/>
      </c>
      <c r="Z270" s="184" t="str">
        <f t="shared" si="25"/>
        <v/>
      </c>
      <c r="AA270" s="184" t="str">
        <f t="shared" si="25"/>
        <v/>
      </c>
      <c r="AB270" s="184" t="str">
        <f t="shared" si="25"/>
        <v/>
      </c>
      <c r="AC270" s="184" t="str">
        <f t="shared" si="25"/>
        <v/>
      </c>
      <c r="AD270" s="184" t="str">
        <f t="shared" si="25"/>
        <v/>
      </c>
      <c r="AE270" s="184" t="str">
        <f t="shared" si="25"/>
        <v/>
      </c>
      <c r="AF270" s="184" t="str">
        <f t="shared" si="25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26">IF(B238&lt;100,"",B238-1500)</f>
        <v/>
      </c>
      <c r="C271" s="184" t="str">
        <f t="shared" si="26"/>
        <v/>
      </c>
      <c r="D271" s="184" t="str">
        <f t="shared" si="26"/>
        <v/>
      </c>
      <c r="E271" s="184" t="str">
        <f t="shared" si="26"/>
        <v/>
      </c>
      <c r="F271" s="184" t="str">
        <f t="shared" si="26"/>
        <v/>
      </c>
      <c r="G271" s="184" t="str">
        <f t="shared" si="26"/>
        <v/>
      </c>
      <c r="H271" s="184" t="str">
        <f t="shared" si="26"/>
        <v/>
      </c>
      <c r="I271" s="184" t="str">
        <f t="shared" si="26"/>
        <v/>
      </c>
      <c r="J271" s="184" t="str">
        <f t="shared" si="26"/>
        <v/>
      </c>
      <c r="K271" s="184" t="str">
        <f t="shared" si="26"/>
        <v/>
      </c>
      <c r="L271" s="184" t="str">
        <f t="shared" si="26"/>
        <v/>
      </c>
      <c r="M271" s="184" t="str">
        <f t="shared" si="26"/>
        <v/>
      </c>
      <c r="N271" s="184" t="str">
        <f t="shared" si="26"/>
        <v/>
      </c>
      <c r="O271" s="184" t="str">
        <f t="shared" si="26"/>
        <v/>
      </c>
      <c r="P271" s="184" t="str">
        <f t="shared" si="26"/>
        <v/>
      </c>
      <c r="Q271" s="184" t="str">
        <f t="shared" si="26"/>
        <v/>
      </c>
      <c r="R271" s="184" t="str">
        <f t="shared" si="26"/>
        <v/>
      </c>
      <c r="S271" s="184" t="str">
        <f t="shared" si="26"/>
        <v/>
      </c>
      <c r="T271" s="184" t="str">
        <f t="shared" si="26"/>
        <v/>
      </c>
      <c r="U271" s="184" t="str">
        <f t="shared" si="26"/>
        <v/>
      </c>
      <c r="V271" s="184" t="str">
        <f t="shared" si="26"/>
        <v/>
      </c>
      <c r="W271" s="184" t="str">
        <f t="shared" si="26"/>
        <v/>
      </c>
      <c r="X271" s="184" t="str">
        <f t="shared" si="26"/>
        <v/>
      </c>
      <c r="Y271" s="184" t="str">
        <f t="shared" si="26"/>
        <v/>
      </c>
      <c r="Z271" s="184" t="str">
        <f t="shared" si="26"/>
        <v/>
      </c>
      <c r="AA271" s="184" t="str">
        <f t="shared" si="26"/>
        <v/>
      </c>
      <c r="AB271" s="184" t="str">
        <f t="shared" si="26"/>
        <v/>
      </c>
      <c r="AC271" s="184" t="str">
        <f t="shared" si="26"/>
        <v/>
      </c>
      <c r="AD271" s="184" t="str">
        <f t="shared" si="26"/>
        <v/>
      </c>
      <c r="AE271" s="184" t="str">
        <f t="shared" si="26"/>
        <v/>
      </c>
      <c r="AF271" s="184" t="str">
        <f t="shared" si="26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59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97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9213" priority="593">
      <formula>B$9&gt;=20/24</formula>
    </cfRule>
    <cfRule type="expression" dxfId="9212" priority="594">
      <formula>AND(B$9&gt;=14/24,B$9&lt;20/24)</formula>
    </cfRule>
    <cfRule type="expression" dxfId="9211" priority="595">
      <formula>AND(B$9&gt;=8/24,B$9&lt;14/24)</formula>
    </cfRule>
    <cfRule type="expression" dxfId="9210" priority="596">
      <formula>B$9&lt;8/24</formula>
    </cfRule>
  </conditionalFormatting>
  <conditionalFormatting sqref="AL4:AL6">
    <cfRule type="iconSet" priority="592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9209" priority="591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9208" priority="590">
      <formula>$AH12=0</formula>
    </cfRule>
  </conditionalFormatting>
  <conditionalFormatting sqref="A114">
    <cfRule type="expression" dxfId="9207" priority="589">
      <formula>$AH114=0</formula>
    </cfRule>
  </conditionalFormatting>
  <conditionalFormatting sqref="AL42">
    <cfRule type="iconSet" priority="588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9206" priority="587">
      <formula>$AH45=0</formula>
    </cfRule>
  </conditionalFormatting>
  <conditionalFormatting sqref="A98">
    <cfRule type="expression" dxfId="9205" priority="586">
      <formula>$AH98=0</formula>
    </cfRule>
  </conditionalFormatting>
  <conditionalFormatting sqref="A18">
    <cfRule type="expression" dxfId="9204" priority="585">
      <formula>$AH18=0</formula>
    </cfRule>
  </conditionalFormatting>
  <conditionalFormatting sqref="A196:A201">
    <cfRule type="expression" dxfId="9203" priority="584">
      <formula>$AH196=0</formula>
    </cfRule>
  </conditionalFormatting>
  <conditionalFormatting sqref="A190:A195">
    <cfRule type="expression" dxfId="9202" priority="583">
      <formula>$AH190=0</formula>
    </cfRule>
  </conditionalFormatting>
  <conditionalFormatting sqref="A58">
    <cfRule type="expression" dxfId="9201" priority="582">
      <formula>$AH58=0</formula>
    </cfRule>
  </conditionalFormatting>
  <conditionalFormatting sqref="A94">
    <cfRule type="expression" dxfId="9200" priority="581">
      <formula>$AH94=0</formula>
    </cfRule>
  </conditionalFormatting>
  <conditionalFormatting sqref="E99:X99 AD99:AF99">
    <cfRule type="expression" dxfId="9199" priority="577">
      <formula>E$9&gt;=20/24</formula>
    </cfRule>
    <cfRule type="expression" dxfId="9198" priority="578">
      <formula>AND(E$9&gt;=14/24,E$9&lt;20/24)</formula>
    </cfRule>
    <cfRule type="expression" dxfId="9197" priority="579">
      <formula>AND(E$9&gt;=8/24,E$9&lt;14/24)</formula>
    </cfRule>
    <cfRule type="expression" dxfId="9196" priority="580">
      <formula>E$9&lt;8/24</formula>
    </cfRule>
  </conditionalFormatting>
  <conditionalFormatting sqref="AL43">
    <cfRule type="iconSet" priority="57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9195" priority="599">
      <formula>C$9&gt;=20/24</formula>
    </cfRule>
    <cfRule type="expression" dxfId="9194" priority="600">
      <formula>AND(C$9&gt;=14/24,C$9&lt;20/24)</formula>
    </cfRule>
    <cfRule type="expression" dxfId="9193" priority="601">
      <formula>AND(C$9&gt;=8/24,C$9&lt;14/24)</formula>
    </cfRule>
    <cfRule type="expression" dxfId="9192" priority="602">
      <formula>C$9&lt;8/24</formula>
    </cfRule>
  </conditionalFormatting>
  <conditionalFormatting sqref="A233">
    <cfRule type="expression" dxfId="9191" priority="603">
      <formula>$AH233=0</formula>
    </cfRule>
  </conditionalFormatting>
  <conditionalFormatting sqref="AG245">
    <cfRule type="expression" dxfId="9190" priority="604">
      <formula>B$9&gt;=20/24</formula>
    </cfRule>
    <cfRule type="expression" dxfId="9189" priority="605">
      <formula>AND(B$9&gt;=14/24,B$9&lt;20/24)</formula>
    </cfRule>
    <cfRule type="expression" dxfId="9188" priority="606">
      <formula>AND(B$9&gt;=8/24,B$9&lt;14/24)</formula>
    </cfRule>
    <cfRule type="expression" dxfId="9187" priority="607">
      <formula>B$9&lt;8/24</formula>
    </cfRule>
  </conditionalFormatting>
  <conditionalFormatting sqref="S8">
    <cfRule type="expression" dxfId="9186" priority="572">
      <formula>U$9&gt;=20/24</formula>
    </cfRule>
    <cfRule type="expression" dxfId="9185" priority="573">
      <formula>AND(U$9&gt;=14/24,U$9&lt;20/24)</formula>
    </cfRule>
    <cfRule type="expression" dxfId="9184" priority="574">
      <formula>AND(U$9&gt;=8/24,U$9&lt;14/24)</formula>
    </cfRule>
    <cfRule type="expression" dxfId="9183" priority="575">
      <formula>U$9&lt;8/24</formula>
    </cfRule>
  </conditionalFormatting>
  <conditionalFormatting sqref="AB8">
    <cfRule type="expression" dxfId="9182" priority="568">
      <formula>AD$9&gt;=20/24</formula>
    </cfRule>
    <cfRule type="expression" dxfId="9181" priority="569">
      <formula>AND(AD$9&gt;=14/24,AD$9&lt;20/24)</formula>
    </cfRule>
    <cfRule type="expression" dxfId="9180" priority="570">
      <formula>AND(AD$9&gt;=8/24,AD$9&lt;14/24)</formula>
    </cfRule>
    <cfRule type="expression" dxfId="9179" priority="571">
      <formula>AD$9&lt;8/24</formula>
    </cfRule>
  </conditionalFormatting>
  <conditionalFormatting sqref="AH245:AX245">
    <cfRule type="expression" dxfId="9178" priority="608">
      <formula>AG$9&gt;=20/24</formula>
    </cfRule>
    <cfRule type="expression" dxfId="9177" priority="609">
      <formula>AND(AG$9&gt;=14/24,AG$9&lt;20/24)</formula>
    </cfRule>
    <cfRule type="expression" dxfId="9176" priority="610">
      <formula>AND(AG$9&gt;=8/24,AG$9&lt;14/24)</formula>
    </cfRule>
    <cfRule type="expression" dxfId="9175" priority="611">
      <formula>AG$9&lt;8/24</formula>
    </cfRule>
  </conditionalFormatting>
  <conditionalFormatting sqref="T245">
    <cfRule type="expression" dxfId="9174" priority="612">
      <formula>AX$9&gt;=20/24</formula>
    </cfRule>
    <cfRule type="expression" dxfId="9173" priority="613">
      <formula>AND(AX$9&gt;=14/24,AX$9&lt;20/24)</formula>
    </cfRule>
    <cfRule type="expression" dxfId="9172" priority="614">
      <formula>AND(AX$9&gt;=8/24,AX$9&lt;14/24)</formula>
    </cfRule>
    <cfRule type="expression" dxfId="9171" priority="615">
      <formula>AX$9&lt;8/24</formula>
    </cfRule>
  </conditionalFormatting>
  <conditionalFormatting sqref="A115:A116">
    <cfRule type="expression" dxfId="9170" priority="567">
      <formula>$AH115=0</formula>
    </cfRule>
  </conditionalFormatting>
  <conditionalFormatting sqref="M54:Q58 E71:AF71">
    <cfRule type="expression" dxfId="9169" priority="563">
      <formula>E$9&gt;=20/24</formula>
    </cfRule>
    <cfRule type="expression" dxfId="9168" priority="564">
      <formula>AND(E$9&gt;=14/24,E$9&lt;20/24)</formula>
    </cfRule>
    <cfRule type="expression" dxfId="9167" priority="565">
      <formula>AND(E$9&gt;=8/24,E$9&lt;14/24)</formula>
    </cfRule>
    <cfRule type="expression" dxfId="9166" priority="566">
      <formula>E$9&lt;8/24</formula>
    </cfRule>
  </conditionalFormatting>
  <conditionalFormatting sqref="M53:Q53">
    <cfRule type="expression" dxfId="9165" priority="559">
      <formula>M$9&gt;=20/24</formula>
    </cfRule>
    <cfRule type="expression" dxfId="9164" priority="560">
      <formula>AND(M$9&gt;=14/24,M$9&lt;20/24)</formula>
    </cfRule>
    <cfRule type="expression" dxfId="9163" priority="561">
      <formula>AND(M$9&gt;=8/24,M$9&lt;14/24)</formula>
    </cfRule>
    <cfRule type="expression" dxfId="9162" priority="562">
      <formula>M$9&lt;8/24</formula>
    </cfRule>
  </conditionalFormatting>
  <conditionalFormatting sqref="M53:Q58">
    <cfRule type="expression" dxfId="9161" priority="558">
      <formula>M53&gt;$AG53</formula>
    </cfRule>
  </conditionalFormatting>
  <conditionalFormatting sqref="D86:AF86 X96:AF96 AD100:AF106 E72:X73 M100:X106 X47:AF47 Y67:AF69 Y72:AF74">
    <cfRule type="expression" dxfId="9160" priority="554">
      <formula>D$9&gt;=20/24</formula>
    </cfRule>
    <cfRule type="expression" dxfId="9159" priority="555">
      <formula>AND(D$9&gt;=14/24,D$9&lt;20/24)</formula>
    </cfRule>
    <cfRule type="expression" dxfId="9158" priority="556">
      <formula>AND(D$9&gt;=8/24,D$9&lt;14/24)</formula>
    </cfRule>
    <cfRule type="expression" dxfId="9157" priority="557">
      <formula>D$9&lt;8/24</formula>
    </cfRule>
  </conditionalFormatting>
  <conditionalFormatting sqref="X47:AF47 Y67:AF69">
    <cfRule type="expression" dxfId="9156" priority="553">
      <formula>X47&gt;$AG47</formula>
    </cfRule>
  </conditionalFormatting>
  <conditionalFormatting sqref="R53:AF58">
    <cfRule type="expression" dxfId="9155" priority="549">
      <formula>R$9&gt;=20/24</formula>
    </cfRule>
    <cfRule type="expression" dxfId="9154" priority="550">
      <formula>AND(R$9&gt;=14/24,R$9&lt;20/24)</formula>
    </cfRule>
    <cfRule type="expression" dxfId="9153" priority="551">
      <formula>AND(R$9&gt;=8/24,R$9&lt;14/24)</formula>
    </cfRule>
    <cfRule type="expression" dxfId="9152" priority="552">
      <formula>R$9&lt;8/24</formula>
    </cfRule>
  </conditionalFormatting>
  <conditionalFormatting sqref="R53:AF58">
    <cfRule type="expression" dxfId="9151" priority="548">
      <formula>R53&gt;$AG53</formula>
    </cfRule>
  </conditionalFormatting>
  <conditionalFormatting sqref="C97:AF97 D88:AF88">
    <cfRule type="expression" dxfId="9150" priority="544">
      <formula>C$9&gt;=20/24</formula>
    </cfRule>
    <cfRule type="expression" dxfId="9149" priority="545">
      <formula>AND(C$9&gt;=14/24,C$9&lt;20/24)</formula>
    </cfRule>
    <cfRule type="expression" dxfId="9148" priority="546">
      <formula>AND(C$9&gt;=8/24,C$9&lt;14/24)</formula>
    </cfRule>
    <cfRule type="expression" dxfId="9147" priority="547">
      <formula>C$9&lt;8/24</formula>
    </cfRule>
  </conditionalFormatting>
  <conditionalFormatting sqref="T47:W47">
    <cfRule type="expression" dxfId="9146" priority="540">
      <formula>T$9&gt;=20/24</formula>
    </cfRule>
    <cfRule type="expression" dxfId="9145" priority="541">
      <formula>AND(T$9&gt;=14/24,T$9&lt;20/24)</formula>
    </cfRule>
    <cfRule type="expression" dxfId="9144" priority="542">
      <formula>AND(T$9&gt;=8/24,T$9&lt;14/24)</formula>
    </cfRule>
    <cfRule type="expression" dxfId="9143" priority="543">
      <formula>T$9&lt;8/24</formula>
    </cfRule>
  </conditionalFormatting>
  <conditionalFormatting sqref="T47:W47">
    <cfRule type="expression" dxfId="9142" priority="539">
      <formula>T47&gt;$AG47</formula>
    </cfRule>
  </conditionalFormatting>
  <conditionalFormatting sqref="E54:L55">
    <cfRule type="expression" dxfId="9141" priority="535">
      <formula>E$9&gt;=20/24</formula>
    </cfRule>
    <cfRule type="expression" dxfId="9140" priority="536">
      <formula>AND(E$9&gt;=14/24,E$9&lt;20/24)</formula>
    </cfRule>
    <cfRule type="expression" dxfId="9139" priority="537">
      <formula>AND(E$9&gt;=8/24,E$9&lt;14/24)</formula>
    </cfRule>
    <cfRule type="expression" dxfId="9138" priority="538">
      <formula>E$9&lt;8/24</formula>
    </cfRule>
  </conditionalFormatting>
  <conditionalFormatting sqref="E53:L53">
    <cfRule type="expression" dxfId="9137" priority="531">
      <formula>E$9&gt;=20/24</formula>
    </cfRule>
    <cfRule type="expression" dxfId="9136" priority="532">
      <formula>AND(E$9&gt;=14/24,E$9&lt;20/24)</formula>
    </cfRule>
    <cfRule type="expression" dxfId="9135" priority="533">
      <formula>AND(E$9&gt;=8/24,E$9&lt;14/24)</formula>
    </cfRule>
    <cfRule type="expression" dxfId="9134" priority="534">
      <formula>E$9&lt;8/24</formula>
    </cfRule>
  </conditionalFormatting>
  <conditionalFormatting sqref="E53:L55">
    <cfRule type="expression" dxfId="9133" priority="530">
      <formula>E53&gt;$AG53</formula>
    </cfRule>
  </conditionalFormatting>
  <conditionalFormatting sqref="AG70 AG87 F100:L106 Q67:X69">
    <cfRule type="expression" dxfId="9132" priority="526">
      <formula>F$9&gt;=20/24</formula>
    </cfRule>
    <cfRule type="expression" dxfId="9131" priority="527">
      <formula>AND(F$9&gt;=14/24,F$9&lt;20/24)</formula>
    </cfRule>
    <cfRule type="expression" dxfId="9130" priority="528">
      <formula>AND(F$9&gt;=8/24,F$9&lt;14/24)</formula>
    </cfRule>
    <cfRule type="expression" dxfId="9129" priority="529">
      <formula>F$9&lt;8/24</formula>
    </cfRule>
  </conditionalFormatting>
  <conditionalFormatting sqref="AG48 AG66 AG70 Q67:X69">
    <cfRule type="expression" dxfId="9128" priority="525">
      <formula>Q48&gt;$AG48</formula>
    </cfRule>
  </conditionalFormatting>
  <conditionalFormatting sqref="A43">
    <cfRule type="expression" dxfId="9127" priority="519">
      <formula>$AH43=0</formula>
    </cfRule>
  </conditionalFormatting>
  <conditionalFormatting sqref="X91:AF95">
    <cfRule type="expression" dxfId="9126" priority="515">
      <formula>X$9&gt;=20/24</formula>
    </cfRule>
    <cfRule type="expression" dxfId="9125" priority="516">
      <formula>AND(X$9&gt;=14/24,X$9&lt;20/24)</formula>
    </cfRule>
    <cfRule type="expression" dxfId="9124" priority="517">
      <formula>AND(X$9&gt;=8/24,X$9&lt;14/24)</formula>
    </cfRule>
    <cfRule type="expression" dxfId="9123" priority="518">
      <formula>X$9&lt;8/24</formula>
    </cfRule>
  </conditionalFormatting>
  <conditionalFormatting sqref="AL45 AL41 AL22:AL32 AL38:AL39 AL7:AL15 AL17:AL20 AL34:AL36">
    <cfRule type="iconSet" priority="616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9122" priority="511">
      <formula>E$9&gt;=20/24</formula>
    </cfRule>
    <cfRule type="expression" dxfId="9121" priority="512">
      <formula>AND(E$9&gt;=14/24,E$9&lt;20/24)</formula>
    </cfRule>
    <cfRule type="expression" dxfId="9120" priority="513">
      <formula>AND(E$9&gt;=8/24,E$9&lt;14/24)</formula>
    </cfRule>
    <cfRule type="expression" dxfId="9119" priority="514">
      <formula>E$9&lt;8/24</formula>
    </cfRule>
  </conditionalFormatting>
  <conditionalFormatting sqref="E49:AF51">
    <cfRule type="expression" dxfId="9118" priority="510">
      <formula>E49&gt;$AG49</formula>
    </cfRule>
  </conditionalFormatting>
  <conditionalFormatting sqref="AG52">
    <cfRule type="expression" dxfId="9117" priority="506">
      <formula>AG$9&gt;=20/24</formula>
    </cfRule>
    <cfRule type="expression" dxfId="9116" priority="507">
      <formula>AND(AG$9&gt;=14/24,AG$9&lt;20/24)</formula>
    </cfRule>
    <cfRule type="expression" dxfId="9115" priority="508">
      <formula>AND(AG$9&gt;=8/24,AG$9&lt;14/24)</formula>
    </cfRule>
    <cfRule type="expression" dxfId="9114" priority="509">
      <formula>AG$9&lt;8/24</formula>
    </cfRule>
  </conditionalFormatting>
  <conditionalFormatting sqref="AG52">
    <cfRule type="expression" dxfId="9113" priority="505">
      <formula>AG52&gt;$AG52</formula>
    </cfRule>
  </conditionalFormatting>
  <conditionalFormatting sqref="C107:AF107">
    <cfRule type="expression" dxfId="9112" priority="501">
      <formula>C$9&gt;=20/24</formula>
    </cfRule>
    <cfRule type="expression" dxfId="9111" priority="502">
      <formula>AND(C$9&gt;=14/24,C$9&lt;20/24)</formula>
    </cfRule>
    <cfRule type="expression" dxfId="9110" priority="503">
      <formula>AND(C$9&gt;=8/24,C$9&lt;14/24)</formula>
    </cfRule>
    <cfRule type="expression" dxfId="9109" priority="504">
      <formula>C$9&lt;8/24</formula>
    </cfRule>
  </conditionalFormatting>
  <conditionalFormatting sqref="AL40">
    <cfRule type="iconSet" priority="500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9108" priority="499">
      <formula>$AH40=0</formula>
    </cfRule>
  </conditionalFormatting>
  <conditionalFormatting sqref="A90">
    <cfRule type="expression" dxfId="9107" priority="497">
      <formula>$AH90=0</formula>
    </cfRule>
  </conditionalFormatting>
  <conditionalFormatting sqref="A87">
    <cfRule type="expression" dxfId="9106" priority="498">
      <formula>$AH87=0</formula>
    </cfRule>
  </conditionalFormatting>
  <conditionalFormatting sqref="D110:AF110">
    <cfRule type="expression" dxfId="9105" priority="493">
      <formula>D$9&gt;=20/24</formula>
    </cfRule>
    <cfRule type="expression" dxfId="9104" priority="494">
      <formula>AND(D$9&gt;=14/24,D$9&lt;20/24)</formula>
    </cfRule>
    <cfRule type="expression" dxfId="9103" priority="495">
      <formula>AND(D$9&gt;=8/24,D$9&lt;14/24)</formula>
    </cfRule>
    <cfRule type="expression" dxfId="9102" priority="496">
      <formula>D$9&lt;8/24</formula>
    </cfRule>
  </conditionalFormatting>
  <conditionalFormatting sqref="A110">
    <cfRule type="expression" dxfId="9101" priority="492">
      <formula>$AH110=0</formula>
    </cfRule>
  </conditionalFormatting>
  <conditionalFormatting sqref="A21">
    <cfRule type="expression" dxfId="9100" priority="490">
      <formula>$AH21=0</formula>
    </cfRule>
  </conditionalFormatting>
  <conditionalFormatting sqref="AL21">
    <cfRule type="iconSet" priority="49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9099" priority="488">
      <formula>$AH37=0</formula>
    </cfRule>
  </conditionalFormatting>
  <conditionalFormatting sqref="AL37">
    <cfRule type="iconSet" priority="489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9098" priority="484">
      <formula>Y$9&gt;=20/24</formula>
    </cfRule>
    <cfRule type="expression" dxfId="9097" priority="485">
      <formula>AND(Y$9&gt;=14/24,Y$9&lt;20/24)</formula>
    </cfRule>
    <cfRule type="expression" dxfId="9096" priority="486">
      <formula>AND(Y$9&gt;=8/24,Y$9&lt;14/24)</formula>
    </cfRule>
    <cfRule type="expression" dxfId="9095" priority="487">
      <formula>Y$9&lt;8/24</formula>
    </cfRule>
  </conditionalFormatting>
  <conditionalFormatting sqref="Y100:AC106">
    <cfRule type="expression" dxfId="9094" priority="480">
      <formula>Y$9&gt;=20/24</formula>
    </cfRule>
    <cfRule type="expression" dxfId="9093" priority="481">
      <formula>AND(Y$9&gt;=14/24,Y$9&lt;20/24)</formula>
    </cfRule>
    <cfRule type="expression" dxfId="9092" priority="482">
      <formula>AND(Y$9&gt;=8/24,Y$9&lt;14/24)</formula>
    </cfRule>
    <cfRule type="expression" dxfId="9091" priority="483">
      <formula>Y$9&lt;8/24</formula>
    </cfRule>
  </conditionalFormatting>
  <conditionalFormatting sqref="C109 C111:C116 R34:AF43 R17:AF32">
    <cfRule type="expression" dxfId="9090" priority="476">
      <formula>C$9&gt;=20/24</formula>
    </cfRule>
    <cfRule type="expression" dxfId="9089" priority="477">
      <formula>AND(C$9&gt;=14/24,C$9&lt;20/24)</formula>
    </cfRule>
    <cfRule type="expression" dxfId="9088" priority="478">
      <formula>AND(C$9&gt;=8/24,C$9&lt;14/24)</formula>
    </cfRule>
    <cfRule type="expression" dxfId="9087" priority="479">
      <formula>C$9&lt;8/24</formula>
    </cfRule>
  </conditionalFormatting>
  <conditionalFormatting sqref="C47:S47">
    <cfRule type="expression" dxfId="9086" priority="472">
      <formula>C$9&gt;=20/24</formula>
    </cfRule>
    <cfRule type="expression" dxfId="9085" priority="473">
      <formula>AND(C$9&gt;=14/24,C$9&lt;20/24)</formula>
    </cfRule>
    <cfRule type="expression" dxfId="9084" priority="474">
      <formula>AND(C$9&gt;=8/24,C$9&lt;14/24)</formula>
    </cfRule>
    <cfRule type="expression" dxfId="9083" priority="475">
      <formula>C$9&lt;8/24</formula>
    </cfRule>
  </conditionalFormatting>
  <conditionalFormatting sqref="C47:S47 R34:AF43 R17:AF32">
    <cfRule type="expression" dxfId="9082" priority="471">
      <formula>C17&gt;$AG17</formula>
    </cfRule>
  </conditionalFormatting>
  <conditionalFormatting sqref="C99:D99">
    <cfRule type="expression" dxfId="9081" priority="467">
      <formula>C$9&gt;=20/24</formula>
    </cfRule>
    <cfRule type="expression" dxfId="9080" priority="468">
      <formula>AND(C$9&gt;=14/24,C$9&lt;20/24)</formula>
    </cfRule>
    <cfRule type="expression" dxfId="9079" priority="469">
      <formula>AND(C$9&gt;=8/24,C$9&lt;14/24)</formula>
    </cfRule>
    <cfRule type="expression" dxfId="9078" priority="470">
      <formula>C$9&lt;8/24</formula>
    </cfRule>
  </conditionalFormatting>
  <conditionalFormatting sqref="C86 C96:W96 C83:AF85 D100:E106 J67:P69 E74:X76 Y75:AF76">
    <cfRule type="expression" dxfId="9077" priority="463">
      <formula>C$9&gt;=20/24</formula>
    </cfRule>
    <cfRule type="expression" dxfId="9076" priority="464">
      <formula>AND(C$9&gt;=14/24,C$9&lt;20/24)</formula>
    </cfRule>
    <cfRule type="expression" dxfId="9075" priority="465">
      <formula>AND(C$9&gt;=8/24,C$9&lt;14/24)</formula>
    </cfRule>
    <cfRule type="expression" dxfId="9074" priority="466">
      <formula>C$9&lt;8/24</formula>
    </cfRule>
  </conditionalFormatting>
  <conditionalFormatting sqref="F56:L57 J67:P69">
    <cfRule type="expression" dxfId="9073" priority="462">
      <formula>F56&gt;$AG56</formula>
    </cfRule>
  </conditionalFormatting>
  <conditionalFormatting sqref="G58:L58">
    <cfRule type="expression" dxfId="9072" priority="458">
      <formula>G$9&gt;=20/24</formula>
    </cfRule>
    <cfRule type="expression" dxfId="9071" priority="459">
      <formula>AND(G$9&gt;=14/24,G$9&lt;20/24)</formula>
    </cfRule>
    <cfRule type="expression" dxfId="9070" priority="460">
      <formula>AND(G$9&gt;=8/24,G$9&lt;14/24)</formula>
    </cfRule>
    <cfRule type="expression" dxfId="9069" priority="461">
      <formula>G$9&lt;8/24</formula>
    </cfRule>
  </conditionalFormatting>
  <conditionalFormatting sqref="G58:L58">
    <cfRule type="expression" dxfId="9068" priority="457">
      <formula>G58&gt;$AG58</formula>
    </cfRule>
  </conditionalFormatting>
  <conditionalFormatting sqref="D71 D54:D57 E56:E57">
    <cfRule type="expression" dxfId="9067" priority="386">
      <formula>D$9&gt;=20/24</formula>
    </cfRule>
    <cfRule type="expression" dxfId="9066" priority="387">
      <formula>AND(D$9&gt;=14/24,D$9&lt;20/24)</formula>
    </cfRule>
    <cfRule type="expression" dxfId="9065" priority="388">
      <formula>AND(D$9&gt;=8/24,D$9&lt;14/24)</formula>
    </cfRule>
    <cfRule type="expression" dxfId="9064" priority="389">
      <formula>D$9&lt;8/24</formula>
    </cfRule>
  </conditionalFormatting>
  <conditionalFormatting sqref="C87:AF87 C89:AF89 C98:AF98 L70:AF70">
    <cfRule type="expression" dxfId="9063" priority="453">
      <formula>C$9&gt;=20/24</formula>
    </cfRule>
    <cfRule type="expression" dxfId="9062" priority="454">
      <formula>AND(C$9&gt;=14/24,C$9&lt;20/24)</formula>
    </cfRule>
    <cfRule type="expression" dxfId="9061" priority="455">
      <formula>AND(C$9&gt;=8/24,C$9&lt;14/24)</formula>
    </cfRule>
    <cfRule type="expression" dxfId="9060" priority="456">
      <formula>C$9&lt;8/24</formula>
    </cfRule>
  </conditionalFormatting>
  <conditionalFormatting sqref="C48:AF48 D65:AF66 L70:AF70">
    <cfRule type="expression" dxfId="9059" priority="452">
      <formula>C48&gt;$AG48</formula>
    </cfRule>
  </conditionalFormatting>
  <conditionalFormatting sqref="C82:AF82">
    <cfRule type="expression" dxfId="9058" priority="448">
      <formula>C$9&gt;=20/24</formula>
    </cfRule>
    <cfRule type="expression" dxfId="9057" priority="449">
      <formula>AND(C$9&gt;=14/24,C$9&lt;20/24)</formula>
    </cfRule>
    <cfRule type="expression" dxfId="9056" priority="450">
      <formula>AND(C$9&gt;=8/24,C$9&lt;14/24)</formula>
    </cfRule>
    <cfRule type="expression" dxfId="9055" priority="451">
      <formula>C$9&lt;8/24</formula>
    </cfRule>
  </conditionalFormatting>
  <conditionalFormatting sqref="C91:W95">
    <cfRule type="expression" dxfId="9054" priority="444">
      <formula>C$9&gt;=20/24</formula>
    </cfRule>
    <cfRule type="expression" dxfId="9053" priority="445">
      <formula>AND(C$9&gt;=14/24,C$9&lt;20/24)</formula>
    </cfRule>
    <cfRule type="expression" dxfId="9052" priority="446">
      <formula>AND(C$9&gt;=8/24,C$9&lt;14/24)</formula>
    </cfRule>
    <cfRule type="expression" dxfId="9051" priority="447">
      <formula>C$9&lt;8/24</formula>
    </cfRule>
  </conditionalFormatting>
  <conditionalFormatting sqref="C52:AF52">
    <cfRule type="expression" dxfId="9050" priority="440">
      <formula>C$9&gt;=20/24</formula>
    </cfRule>
    <cfRule type="expression" dxfId="9049" priority="441">
      <formula>AND(C$9&gt;=14/24,C$9&lt;20/24)</formula>
    </cfRule>
    <cfRule type="expression" dxfId="9048" priority="442">
      <formula>AND(C$9&gt;=8/24,C$9&lt;14/24)</formula>
    </cfRule>
    <cfRule type="expression" dxfId="9047" priority="443">
      <formula>C$9&lt;8/24</formula>
    </cfRule>
  </conditionalFormatting>
  <conditionalFormatting sqref="C52:AF52">
    <cfRule type="expression" dxfId="9046" priority="439">
      <formula>C52&gt;$AG52</formula>
    </cfRule>
  </conditionalFormatting>
  <conditionalFormatting sqref="C49:D51">
    <cfRule type="expression" dxfId="9045" priority="354">
      <formula>C$9&gt;=20/24</formula>
    </cfRule>
    <cfRule type="expression" dxfId="9044" priority="355">
      <formula>AND(C$9&gt;=14/24,C$9&lt;20/24)</formula>
    </cfRule>
    <cfRule type="expression" dxfId="9043" priority="356">
      <formula>AND(C$9&gt;=8/24,C$9&lt;14/24)</formula>
    </cfRule>
    <cfRule type="expression" dxfId="9042" priority="357">
      <formula>C$9&lt;8/24</formula>
    </cfRule>
  </conditionalFormatting>
  <conditionalFormatting sqref="C110">
    <cfRule type="expression" dxfId="9041" priority="431">
      <formula>C$9&gt;=20/24</formula>
    </cfRule>
    <cfRule type="expression" dxfId="9040" priority="432">
      <formula>AND(C$9&gt;=14/24,C$9&lt;20/24)</formula>
    </cfRule>
    <cfRule type="expression" dxfId="9039" priority="433">
      <formula>AND(C$9&gt;=8/24,C$9&lt;14/24)</formula>
    </cfRule>
    <cfRule type="expression" dxfId="9038" priority="434">
      <formula>C$9&lt;8/24</formula>
    </cfRule>
  </conditionalFormatting>
  <conditionalFormatting sqref="M59:AF64">
    <cfRule type="expression" dxfId="9037" priority="427">
      <formula>M$9&gt;=20/24</formula>
    </cfRule>
    <cfRule type="expression" dxfId="9036" priority="428">
      <formula>AND(M$9&gt;=14/24,M$9&lt;20/24)</formula>
    </cfRule>
    <cfRule type="expression" dxfId="9035" priority="429">
      <formula>AND(M$9&gt;=8/24,M$9&lt;14/24)</formula>
    </cfRule>
    <cfRule type="expression" dxfId="9034" priority="430">
      <formula>M$9&lt;8/24</formula>
    </cfRule>
  </conditionalFormatting>
  <conditionalFormatting sqref="M59:AF64">
    <cfRule type="expression" dxfId="9033" priority="426">
      <formula>M59&gt;$AG59</formula>
    </cfRule>
  </conditionalFormatting>
  <conditionalFormatting sqref="R13:AF15 R45:AF45">
    <cfRule type="expression" dxfId="9032" priority="425">
      <formula>R13&gt;$AG13</formula>
    </cfRule>
  </conditionalFormatting>
  <conditionalFormatting sqref="E12:AF12">
    <cfRule type="expression" dxfId="9031" priority="421">
      <formula>E$9&gt;=20/24</formula>
    </cfRule>
    <cfRule type="expression" dxfId="9030" priority="422">
      <formula>AND(E$9&gt;=14/24,E$9&lt;20/24)</formula>
    </cfRule>
    <cfRule type="expression" dxfId="9029" priority="423">
      <formula>AND(E$9&gt;=8/24,E$9&lt;14/24)</formula>
    </cfRule>
    <cfRule type="expression" dxfId="9028" priority="424">
      <formula>E$9&lt;8/24</formula>
    </cfRule>
  </conditionalFormatting>
  <conditionalFormatting sqref="E12:AF12">
    <cfRule type="expression" dxfId="9027" priority="420">
      <formula>E12&gt;$AG12</formula>
    </cfRule>
  </conditionalFormatting>
  <conditionalFormatting sqref="R13:AF15">
    <cfRule type="expression" dxfId="9026" priority="416">
      <formula>R$9&gt;=20/24</formula>
    </cfRule>
    <cfRule type="expression" dxfId="9025" priority="417">
      <formula>AND(R$9&gt;=14/24,R$9&lt;20/24)</formula>
    </cfRule>
    <cfRule type="expression" dxfId="9024" priority="418">
      <formula>AND(R$9&gt;=8/24,R$9&lt;14/24)</formula>
    </cfRule>
    <cfRule type="expression" dxfId="9023" priority="419">
      <formula>R$9&lt;8/24</formula>
    </cfRule>
  </conditionalFormatting>
  <conditionalFormatting sqref="R45:AF45">
    <cfRule type="expression" dxfId="9022" priority="412">
      <formula>R$9&gt;=20/24</formula>
    </cfRule>
    <cfRule type="expression" dxfId="9021" priority="413">
      <formula>AND(R$9&gt;=14/24,R$9&lt;20/24)</formula>
    </cfRule>
    <cfRule type="expression" dxfId="9020" priority="414">
      <formula>AND(R$9&gt;=8/24,R$9&lt;14/24)</formula>
    </cfRule>
    <cfRule type="expression" dxfId="9019" priority="415">
      <formula>R$9&lt;8/24</formula>
    </cfRule>
  </conditionalFormatting>
  <conditionalFormatting sqref="R77:AF81">
    <cfRule type="expression" dxfId="9018" priority="408">
      <formula>R$9&gt;=20/24</formula>
    </cfRule>
    <cfRule type="expression" dxfId="9017" priority="409">
      <formula>AND(R$9&gt;=14/24,R$9&lt;20/24)</formula>
    </cfRule>
    <cfRule type="expression" dxfId="9016" priority="410">
      <formula>AND(R$9&gt;=8/24,R$9&lt;14/24)</formula>
    </cfRule>
    <cfRule type="expression" dxfId="9015" priority="411">
      <formula>R$9&lt;8/24</formula>
    </cfRule>
  </conditionalFormatting>
  <conditionalFormatting sqref="AL78:AN78 AL84:AN84 AN79:AN80">
    <cfRule type="expression" dxfId="9014" priority="404">
      <formula>AL$9&gt;=20/24</formula>
    </cfRule>
    <cfRule type="expression" dxfId="9013" priority="405">
      <formula>AND(AL$9&gt;=14/24,AL$9&lt;20/24)</formula>
    </cfRule>
    <cfRule type="expression" dxfId="9012" priority="406">
      <formula>AND(AL$9&gt;=8/24,AL$9&lt;14/24)</formula>
    </cfRule>
    <cfRule type="expression" dxfId="9011" priority="407">
      <formula>AL$9&lt;8/24</formula>
    </cfRule>
  </conditionalFormatting>
  <conditionalFormatting sqref="AN81:AN82">
    <cfRule type="expression" dxfId="9010" priority="400">
      <formula>AN$9&gt;=20/24</formula>
    </cfRule>
    <cfRule type="expression" dxfId="9009" priority="401">
      <formula>AND(AN$9&gt;=14/24,AN$9&lt;20/24)</formula>
    </cfRule>
    <cfRule type="expression" dxfId="9008" priority="402">
      <formula>AND(AN$9&gt;=8/24,AN$9&lt;14/24)</formula>
    </cfRule>
    <cfRule type="expression" dxfId="9007" priority="403">
      <formula>AN$9&lt;8/24</formula>
    </cfRule>
  </conditionalFormatting>
  <conditionalFormatting sqref="AL79:AM83">
    <cfRule type="expression" dxfId="9006" priority="617">
      <formula>AJ$9&gt;=20/24</formula>
    </cfRule>
    <cfRule type="expression" dxfId="9005" priority="618">
      <formula>AND(AJ$9&gt;=14/24,AJ$9&lt;20/24)</formula>
    </cfRule>
    <cfRule type="expression" dxfId="9004" priority="619">
      <formula>AND(AJ$9&gt;=8/24,AJ$9&lt;14/24)</formula>
    </cfRule>
    <cfRule type="expression" dxfId="9003" priority="620">
      <formula>AJ$9&lt;8/24</formula>
    </cfRule>
  </conditionalFormatting>
  <conditionalFormatting sqref="A117">
    <cfRule type="expression" dxfId="9002" priority="399">
      <formula>$AH117=0</formula>
    </cfRule>
  </conditionalFormatting>
  <conditionalFormatting sqref="E13:Q15 E17:Q20">
    <cfRule type="expression" dxfId="9001" priority="395">
      <formula>E$9&gt;=20/24</formula>
    </cfRule>
    <cfRule type="expression" dxfId="9000" priority="396">
      <formula>AND(E$9&gt;=14/24,E$9&lt;20/24)</formula>
    </cfRule>
    <cfRule type="expression" dxfId="8999" priority="397">
      <formula>AND(E$9&gt;=8/24,E$9&lt;14/24)</formula>
    </cfRule>
    <cfRule type="expression" dxfId="8998" priority="398">
      <formula>E$9&lt;8/24</formula>
    </cfRule>
  </conditionalFormatting>
  <conditionalFormatting sqref="E13:Q15 E17:Q20">
    <cfRule type="expression" dxfId="8997" priority="394">
      <formula>E13&gt;$AG13</formula>
    </cfRule>
  </conditionalFormatting>
  <conditionalFormatting sqref="D53">
    <cfRule type="expression" dxfId="8996" priority="382">
      <formula>D$9&gt;=20/24</formula>
    </cfRule>
    <cfRule type="expression" dxfId="8995" priority="383">
      <formula>AND(D$9&gt;=14/24,D$9&lt;20/24)</formula>
    </cfRule>
    <cfRule type="expression" dxfId="8994" priority="384">
      <formula>AND(D$9&gt;=8/24,D$9&lt;14/24)</formula>
    </cfRule>
    <cfRule type="expression" dxfId="8993" priority="385">
      <formula>D$9&lt;8/24</formula>
    </cfRule>
  </conditionalFormatting>
  <conditionalFormatting sqref="D53:D57 E56:E57">
    <cfRule type="expression" dxfId="8992" priority="381">
      <formula>D53&gt;$AG53</formula>
    </cfRule>
  </conditionalFormatting>
  <conditionalFormatting sqref="D72:D74 C100:C106 D67:I69">
    <cfRule type="expression" dxfId="8991" priority="377">
      <formula>C$9&gt;=20/24</formula>
    </cfRule>
    <cfRule type="expression" dxfId="8990" priority="378">
      <formula>AND(C$9&gt;=14/24,C$9&lt;20/24)</formula>
    </cfRule>
    <cfRule type="expression" dxfId="8989" priority="379">
      <formula>AND(C$9&gt;=8/24,C$9&lt;14/24)</formula>
    </cfRule>
    <cfRule type="expression" dxfId="8988" priority="380">
      <formula>C$9&lt;8/24</formula>
    </cfRule>
  </conditionalFormatting>
  <conditionalFormatting sqref="D67:I69">
    <cfRule type="expression" dxfId="8987" priority="376">
      <formula>D67&gt;$AG67</formula>
    </cfRule>
  </conditionalFormatting>
  <conditionalFormatting sqref="C88">
    <cfRule type="expression" dxfId="8986" priority="372">
      <formula>C$9&gt;=20/24</formula>
    </cfRule>
    <cfRule type="expression" dxfId="8985" priority="373">
      <formula>AND(C$9&gt;=14/24,C$9&lt;20/24)</formula>
    </cfRule>
    <cfRule type="expression" dxfId="8984" priority="374">
      <formula>AND(C$9&gt;=8/24,C$9&lt;14/24)</formula>
    </cfRule>
    <cfRule type="expression" dxfId="8983" priority="375">
      <formula>C$9&lt;8/24</formula>
    </cfRule>
  </conditionalFormatting>
  <conditionalFormatting sqref="R46:AF46">
    <cfRule type="expression" dxfId="8982" priority="368">
      <formula>R$9&gt;=20/24</formula>
    </cfRule>
    <cfRule type="expression" dxfId="8981" priority="369">
      <formula>AND(R$9&gt;=14/24,R$9&lt;20/24)</formula>
    </cfRule>
    <cfRule type="expression" dxfId="8980" priority="370">
      <formula>AND(R$9&gt;=8/24,R$9&lt;14/24)</formula>
    </cfRule>
    <cfRule type="expression" dxfId="8979" priority="371">
      <formula>R$9&lt;8/24</formula>
    </cfRule>
  </conditionalFormatting>
  <conditionalFormatting sqref="R46:AF46">
    <cfRule type="expression" dxfId="8978" priority="367">
      <formula>R46&gt;$AG46</formula>
    </cfRule>
  </conditionalFormatting>
  <conditionalFormatting sqref="D58:F58">
    <cfRule type="expression" dxfId="8977" priority="363">
      <formula>D$9&gt;=20/24</formula>
    </cfRule>
    <cfRule type="expression" dxfId="8976" priority="364">
      <formula>AND(D$9&gt;=14/24,D$9&lt;20/24)</formula>
    </cfRule>
    <cfRule type="expression" dxfId="8975" priority="365">
      <formula>AND(D$9&gt;=8/24,D$9&lt;14/24)</formula>
    </cfRule>
    <cfRule type="expression" dxfId="8974" priority="366">
      <formula>D$9&lt;8/24</formula>
    </cfRule>
  </conditionalFormatting>
  <conditionalFormatting sqref="D58:F58">
    <cfRule type="expression" dxfId="8973" priority="362">
      <formula>D58&gt;$AG58</formula>
    </cfRule>
  </conditionalFormatting>
  <conditionalFormatting sqref="C49:D51">
    <cfRule type="expression" dxfId="8972" priority="353">
      <formula>C49&gt;$AG49</formula>
    </cfRule>
  </conditionalFormatting>
  <conditionalFormatting sqref="D75:D76">
    <cfRule type="expression" dxfId="8971" priority="341">
      <formula>D$9&gt;=20/24</formula>
    </cfRule>
    <cfRule type="expression" dxfId="8970" priority="342">
      <formula>AND(D$9&gt;=14/24,D$9&lt;20/24)</formula>
    </cfRule>
    <cfRule type="expression" dxfId="8969" priority="343">
      <formula>AND(D$9&gt;=8/24,D$9&lt;14/24)</formula>
    </cfRule>
    <cfRule type="expression" dxfId="8968" priority="344">
      <formula>D$9&lt;8/24</formula>
    </cfRule>
  </conditionalFormatting>
  <conditionalFormatting sqref="D59:L64">
    <cfRule type="expression" dxfId="8967" priority="319">
      <formula>D$9&gt;=20/24</formula>
    </cfRule>
    <cfRule type="expression" dxfId="8966" priority="320">
      <formula>AND(D$9&gt;=14/24,D$9&lt;20/24)</formula>
    </cfRule>
    <cfRule type="expression" dxfId="8965" priority="321">
      <formula>AND(D$9&gt;=8/24,D$9&lt;14/24)</formula>
    </cfRule>
    <cfRule type="expression" dxfId="8964" priority="322">
      <formula>D$9&lt;8/24</formula>
    </cfRule>
  </conditionalFormatting>
  <conditionalFormatting sqref="D59:L64">
    <cfRule type="expression" dxfId="8963" priority="318">
      <formula>D59&gt;$AG59</formula>
    </cfRule>
  </conditionalFormatting>
  <conditionalFormatting sqref="D77:Q81">
    <cfRule type="expression" dxfId="8962" priority="314">
      <formula>D$9&gt;=20/24</formula>
    </cfRule>
    <cfRule type="expression" dxfId="8961" priority="315">
      <formula>AND(D$9&gt;=14/24,D$9&lt;20/24)</formula>
    </cfRule>
    <cfRule type="expression" dxfId="8960" priority="316">
      <formula>AND(D$9&gt;=8/24,D$9&lt;14/24)</formula>
    </cfRule>
    <cfRule type="expression" dxfId="8959" priority="317">
      <formula>D$9&lt;8/24</formula>
    </cfRule>
  </conditionalFormatting>
  <conditionalFormatting sqref="A11">
    <cfRule type="expression" dxfId="8958" priority="313">
      <formula>$AH11=0</formula>
    </cfRule>
  </conditionalFormatting>
  <conditionalFormatting sqref="E11:AF11">
    <cfRule type="expression" dxfId="8957" priority="309">
      <formula>E$9&gt;=20/24</formula>
    </cfRule>
    <cfRule type="expression" dxfId="8956" priority="310">
      <formula>AND(E$9&gt;=14/24,E$9&lt;20/24)</formula>
    </cfRule>
    <cfRule type="expression" dxfId="8955" priority="311">
      <formula>AND(E$9&gt;=8/24,E$9&lt;14/24)</formula>
    </cfRule>
    <cfRule type="expression" dxfId="8954" priority="312">
      <formula>E$9&lt;8/24</formula>
    </cfRule>
  </conditionalFormatting>
  <conditionalFormatting sqref="E11:AF11">
    <cfRule type="expression" dxfId="8953" priority="308">
      <formula>E11&gt;$AG11</formula>
    </cfRule>
  </conditionalFormatting>
  <conditionalFormatting sqref="A16">
    <cfRule type="expression" dxfId="8952" priority="301">
      <formula>$AH16=0</formula>
    </cfRule>
  </conditionalFormatting>
  <conditionalFormatting sqref="AL16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R16:AF16">
    <cfRule type="expression" dxfId="8951" priority="297">
      <formula>R$9&gt;=20/24</formula>
    </cfRule>
    <cfRule type="expression" dxfId="8950" priority="298">
      <formula>AND(R$9&gt;=14/24,R$9&lt;20/24)</formula>
    </cfRule>
    <cfRule type="expression" dxfId="8949" priority="299">
      <formula>AND(R$9&gt;=8/24,R$9&lt;14/24)</formula>
    </cfRule>
    <cfRule type="expression" dxfId="8948" priority="300">
      <formula>R$9&lt;8/24</formula>
    </cfRule>
  </conditionalFormatting>
  <conditionalFormatting sqref="R16:AF16">
    <cfRule type="expression" dxfId="8947" priority="296">
      <formula>R16&gt;$AG16</formula>
    </cfRule>
  </conditionalFormatting>
  <conditionalFormatting sqref="E16:Q16">
    <cfRule type="expression" dxfId="8946" priority="292">
      <formula>E$9&gt;=20/24</formula>
    </cfRule>
    <cfRule type="expression" dxfId="8945" priority="293">
      <formula>AND(E$9&gt;=14/24,E$9&lt;20/24)</formula>
    </cfRule>
    <cfRule type="expression" dxfId="8944" priority="294">
      <formula>AND(E$9&gt;=8/24,E$9&lt;14/24)</formula>
    </cfRule>
    <cfRule type="expression" dxfId="8943" priority="295">
      <formula>E$9&lt;8/24</formula>
    </cfRule>
  </conditionalFormatting>
  <conditionalFormatting sqref="E16:Q16">
    <cfRule type="expression" dxfId="8942" priority="291">
      <formula>E16&gt;$AG16</formula>
    </cfRule>
  </conditionalFormatting>
  <conditionalFormatting sqref="A33">
    <cfRule type="expression" dxfId="8941" priority="289">
      <formula>$AH33=0</formula>
    </cfRule>
  </conditionalFormatting>
  <conditionalFormatting sqref="AL33">
    <cfRule type="iconSet" priority="290">
      <iconSet iconSet="3TrafficLights2" reverse="1">
        <cfvo type="percent" val="0"/>
        <cfvo type="num" val="1"/>
        <cfvo type="num" val="1"/>
      </iconSet>
    </cfRule>
  </conditionalFormatting>
  <conditionalFormatting sqref="R33:AF33">
    <cfRule type="expression" dxfId="8940" priority="285">
      <formula>R$9&gt;=20/24</formula>
    </cfRule>
    <cfRule type="expression" dxfId="8939" priority="286">
      <formula>AND(R$9&gt;=14/24,R$9&lt;20/24)</formula>
    </cfRule>
    <cfRule type="expression" dxfId="8938" priority="287">
      <formula>AND(R$9&gt;=8/24,R$9&lt;14/24)</formula>
    </cfRule>
    <cfRule type="expression" dxfId="8937" priority="288">
      <formula>R$9&lt;8/24</formula>
    </cfRule>
  </conditionalFormatting>
  <conditionalFormatting sqref="R33:AF33">
    <cfRule type="expression" dxfId="8936" priority="284">
      <formula>R33&gt;$AG33</formula>
    </cfRule>
  </conditionalFormatting>
  <conditionalFormatting sqref="A44">
    <cfRule type="expression" dxfId="8935" priority="277">
      <formula>$AH44=0</formula>
    </cfRule>
  </conditionalFormatting>
  <conditionalFormatting sqref="AL44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R44:AF44">
    <cfRule type="expression" dxfId="8934" priority="276">
      <formula>R44&gt;$AG44</formula>
    </cfRule>
  </conditionalFormatting>
  <conditionalFormatting sqref="R44:AF44">
    <cfRule type="expression" dxfId="8933" priority="272">
      <formula>R$9&gt;=20/24</formula>
    </cfRule>
    <cfRule type="expression" dxfId="8932" priority="273">
      <formula>AND(R$9&gt;=14/24,R$9&lt;20/24)</formula>
    </cfRule>
    <cfRule type="expression" dxfId="8931" priority="274">
      <formula>AND(R$9&gt;=8/24,R$9&lt;14/24)</formula>
    </cfRule>
    <cfRule type="expression" dxfId="8930" priority="275">
      <formula>R$9&lt;8/24</formula>
    </cfRule>
  </conditionalFormatting>
  <conditionalFormatting sqref="D117:AF117">
    <cfRule type="expression" dxfId="8929" priority="263">
      <formula>D$9&gt;=20/24</formula>
    </cfRule>
    <cfRule type="expression" dxfId="8928" priority="264">
      <formula>AND(D$9&gt;=14/24,D$9&lt;20/24)</formula>
    </cfRule>
    <cfRule type="expression" dxfId="8927" priority="265">
      <formula>AND(D$9&gt;=8/24,D$9&lt;14/24)</formula>
    </cfRule>
    <cfRule type="expression" dxfId="8926" priority="266">
      <formula>D$9&lt;8/24</formula>
    </cfRule>
  </conditionalFormatting>
  <conditionalFormatting sqref="C117">
    <cfRule type="expression" dxfId="8925" priority="259">
      <formula>C$9&gt;=20/24</formula>
    </cfRule>
    <cfRule type="expression" dxfId="8924" priority="260">
      <formula>AND(C$9&gt;=14/24,C$9&lt;20/24)</formula>
    </cfRule>
    <cfRule type="expression" dxfId="8923" priority="261">
      <formula>AND(C$9&gt;=8/24,C$9&lt;14/24)</formula>
    </cfRule>
    <cfRule type="expression" dxfId="8922" priority="262">
      <formula>C$9&lt;8/24</formula>
    </cfRule>
  </conditionalFormatting>
  <conditionalFormatting sqref="B111:B116 B109">
    <cfRule type="expression" dxfId="8921" priority="124">
      <formula>B$9&gt;=20/24</formula>
    </cfRule>
    <cfRule type="expression" dxfId="8920" priority="125">
      <formula>AND(B$9&gt;=14/24,B$9&lt;20/24)</formula>
    </cfRule>
    <cfRule type="expression" dxfId="8919" priority="126">
      <formula>AND(B$9&gt;=8/24,B$9&lt;14/24)</formula>
    </cfRule>
    <cfRule type="expression" dxfId="8918" priority="127">
      <formula>B$9&lt;8/24</formula>
    </cfRule>
  </conditionalFormatting>
  <conditionalFormatting sqref="B99">
    <cfRule type="expression" dxfId="8917" priority="120">
      <formula>B$9&gt;=20/24</formula>
    </cfRule>
    <cfRule type="expression" dxfId="8916" priority="121">
      <formula>AND(B$9&gt;=14/24,B$9&lt;20/24)</formula>
    </cfRule>
    <cfRule type="expression" dxfId="8915" priority="122">
      <formula>AND(B$9&gt;=8/24,B$9&lt;14/24)</formula>
    </cfRule>
    <cfRule type="expression" dxfId="8914" priority="123">
      <formula>B$9&lt;8/24</formula>
    </cfRule>
  </conditionalFormatting>
  <conditionalFormatting sqref="B54:C57 B71:C71">
    <cfRule type="expression" dxfId="8913" priority="116">
      <formula>B$9&gt;=20/24</formula>
    </cfRule>
    <cfRule type="expression" dxfId="8912" priority="117">
      <formula>AND(B$9&gt;=14/24,B$9&lt;20/24)</formula>
    </cfRule>
    <cfRule type="expression" dxfId="8911" priority="118">
      <formula>AND(B$9&gt;=8/24,B$9&lt;14/24)</formula>
    </cfRule>
    <cfRule type="expression" dxfId="8910" priority="119">
      <formula>B$9&lt;8/24</formula>
    </cfRule>
  </conditionalFormatting>
  <conditionalFormatting sqref="B53:C53">
    <cfRule type="expression" dxfId="8909" priority="112">
      <formula>B$9&gt;=20/24</formula>
    </cfRule>
    <cfRule type="expression" dxfId="8908" priority="113">
      <formula>AND(B$9&gt;=14/24,B$9&lt;20/24)</formula>
    </cfRule>
    <cfRule type="expression" dxfId="8907" priority="114">
      <formula>AND(B$9&gt;=8/24,B$9&lt;14/24)</formula>
    </cfRule>
    <cfRule type="expression" dxfId="8906" priority="115">
      <formula>B$9&lt;8/24</formula>
    </cfRule>
  </conditionalFormatting>
  <conditionalFormatting sqref="B53:C57">
    <cfRule type="expression" dxfId="8905" priority="111">
      <formula>B53&gt;$AG53</formula>
    </cfRule>
  </conditionalFormatting>
  <conditionalFormatting sqref="B86 B96 B47 B100:B106 B67:C69 B72:C74">
    <cfRule type="expression" dxfId="8904" priority="107">
      <formula>B$9&gt;=20/24</formula>
    </cfRule>
    <cfRule type="expression" dxfId="8903" priority="108">
      <formula>AND(B$9&gt;=14/24,B$9&lt;20/24)</formula>
    </cfRule>
    <cfRule type="expression" dxfId="8902" priority="109">
      <formula>AND(B$9&gt;=8/24,B$9&lt;14/24)</formula>
    </cfRule>
    <cfRule type="expression" dxfId="8901" priority="110">
      <formula>B$9&lt;8/24</formula>
    </cfRule>
  </conditionalFormatting>
  <conditionalFormatting sqref="B47 B67:C69">
    <cfRule type="expression" dxfId="8900" priority="106">
      <formula>B47&gt;$AG47</formula>
    </cfRule>
  </conditionalFormatting>
  <conditionalFormatting sqref="B97 B88">
    <cfRule type="expression" dxfId="8899" priority="102">
      <formula>B$9&gt;=20/24</formula>
    </cfRule>
    <cfRule type="expression" dxfId="8898" priority="103">
      <formula>AND(B$9&gt;=14/24,B$9&lt;20/24)</formula>
    </cfRule>
    <cfRule type="expression" dxfId="8897" priority="104">
      <formula>AND(B$9&gt;=8/24,B$9&lt;14/24)</formula>
    </cfRule>
    <cfRule type="expression" dxfId="8896" priority="105">
      <formula>B$9&lt;8/24</formula>
    </cfRule>
  </conditionalFormatting>
  <conditionalFormatting sqref="B58:C58">
    <cfRule type="expression" dxfId="8895" priority="98">
      <formula>B$9&gt;=20/24</formula>
    </cfRule>
    <cfRule type="expression" dxfId="8894" priority="99">
      <formula>AND(B$9&gt;=14/24,B$9&lt;20/24)</formula>
    </cfRule>
    <cfRule type="expression" dxfId="8893" priority="100">
      <formula>AND(B$9&gt;=8/24,B$9&lt;14/24)</formula>
    </cfRule>
    <cfRule type="expression" dxfId="8892" priority="101">
      <formula>B$9&lt;8/24</formula>
    </cfRule>
  </conditionalFormatting>
  <conditionalFormatting sqref="B58:C58">
    <cfRule type="expression" dxfId="8891" priority="97">
      <formula>B58&gt;$AG58</formula>
    </cfRule>
  </conditionalFormatting>
  <conditionalFormatting sqref="B91:B95">
    <cfRule type="expression" dxfId="8890" priority="93">
      <formula>B$9&gt;=20/24</formula>
    </cfRule>
    <cfRule type="expression" dxfId="8889" priority="94">
      <formula>AND(B$9&gt;=14/24,B$9&lt;20/24)</formula>
    </cfRule>
    <cfRule type="expression" dxfId="8888" priority="95">
      <formula>AND(B$9&gt;=8/24,B$9&lt;14/24)</formula>
    </cfRule>
    <cfRule type="expression" dxfId="8887" priority="96">
      <formula>B$9&lt;8/24</formula>
    </cfRule>
  </conditionalFormatting>
  <conditionalFormatting sqref="B49:B51">
    <cfRule type="expression" dxfId="8886" priority="89">
      <formula>B$9&gt;=20/24</formula>
    </cfRule>
    <cfRule type="expression" dxfId="8885" priority="90">
      <formula>AND(B$9&gt;=14/24,B$9&lt;20/24)</formula>
    </cfRule>
    <cfRule type="expression" dxfId="8884" priority="91">
      <formula>AND(B$9&gt;=8/24,B$9&lt;14/24)</formula>
    </cfRule>
    <cfRule type="expression" dxfId="8883" priority="92">
      <formula>B$9&lt;8/24</formula>
    </cfRule>
  </conditionalFormatting>
  <conditionalFormatting sqref="B49:B51">
    <cfRule type="expression" dxfId="8882" priority="88">
      <formula>B49&gt;$AG49</formula>
    </cfRule>
  </conditionalFormatting>
  <conditionalFormatting sqref="B107">
    <cfRule type="expression" dxfId="8881" priority="84">
      <formula>B$9&gt;=20/24</formula>
    </cfRule>
    <cfRule type="expression" dxfId="8880" priority="85">
      <formula>AND(B$9&gt;=14/24,B$9&lt;20/24)</formula>
    </cfRule>
    <cfRule type="expression" dxfId="8879" priority="86">
      <formula>AND(B$9&gt;=8/24,B$9&lt;14/24)</formula>
    </cfRule>
    <cfRule type="expression" dxfId="8878" priority="87">
      <formula>B$9&lt;8/24</formula>
    </cfRule>
  </conditionalFormatting>
  <conditionalFormatting sqref="B110">
    <cfRule type="expression" dxfId="8877" priority="80">
      <formula>B$9&gt;=20/24</formula>
    </cfRule>
    <cfRule type="expression" dxfId="8876" priority="81">
      <formula>AND(B$9&gt;=14/24,B$9&lt;20/24)</formula>
    </cfRule>
    <cfRule type="expression" dxfId="8875" priority="82">
      <formula>AND(B$9&gt;=8/24,B$9&lt;14/24)</formula>
    </cfRule>
    <cfRule type="expression" dxfId="8874" priority="83">
      <formula>B$9&lt;8/24</formula>
    </cfRule>
  </conditionalFormatting>
  <conditionalFormatting sqref="B17:D32 B34:Q43 E21:Q32">
    <cfRule type="expression" dxfId="8873" priority="76">
      <formula>B$9&gt;=20/24</formula>
    </cfRule>
    <cfRule type="expression" dxfId="8872" priority="77">
      <formula>AND(B$9&gt;=14/24,B$9&lt;20/24)</formula>
    </cfRule>
    <cfRule type="expression" dxfId="8871" priority="78">
      <formula>AND(B$9&gt;=8/24,B$9&lt;14/24)</formula>
    </cfRule>
    <cfRule type="expression" dxfId="8870" priority="79">
      <formula>B$9&lt;8/24</formula>
    </cfRule>
  </conditionalFormatting>
  <conditionalFormatting sqref="B17:D32 B34:Q43 E21:Q32">
    <cfRule type="expression" dxfId="8869" priority="75">
      <formula>B17&gt;$AG17</formula>
    </cfRule>
  </conditionalFormatting>
  <conditionalFormatting sqref="B83:B85 B75:C76">
    <cfRule type="expression" dxfId="8868" priority="71">
      <formula>B$9&gt;=20/24</formula>
    </cfRule>
    <cfRule type="expression" dxfId="8867" priority="72">
      <formula>AND(B$9&gt;=14/24,B$9&lt;20/24)</formula>
    </cfRule>
    <cfRule type="expression" dxfId="8866" priority="73">
      <formula>AND(B$9&gt;=8/24,B$9&lt;14/24)</formula>
    </cfRule>
    <cfRule type="expression" dxfId="8865" priority="74">
      <formula>B$9&lt;8/24</formula>
    </cfRule>
  </conditionalFormatting>
  <conditionalFormatting sqref="B87 B89 B98 B70:K70">
    <cfRule type="expression" dxfId="8864" priority="67">
      <formula>B$9&gt;=20/24</formula>
    </cfRule>
    <cfRule type="expression" dxfId="8863" priority="68">
      <formula>AND(B$9&gt;=14/24,B$9&lt;20/24)</formula>
    </cfRule>
    <cfRule type="expression" dxfId="8862" priority="69">
      <formula>AND(B$9&gt;=8/24,B$9&lt;14/24)</formula>
    </cfRule>
    <cfRule type="expression" dxfId="8861" priority="70">
      <formula>B$9&lt;8/24</formula>
    </cfRule>
  </conditionalFormatting>
  <conditionalFormatting sqref="B48 B65:C66 B70:K70">
    <cfRule type="expression" dxfId="8860" priority="66">
      <formula>B48&gt;$AG48</formula>
    </cfRule>
  </conditionalFormatting>
  <conditionalFormatting sqref="B82">
    <cfRule type="expression" dxfId="8859" priority="62">
      <formula>B$9&gt;=20/24</formula>
    </cfRule>
    <cfRule type="expression" dxfId="8858" priority="63">
      <formula>AND(B$9&gt;=14/24,B$9&lt;20/24)</formula>
    </cfRule>
    <cfRule type="expression" dxfId="8857" priority="64">
      <formula>AND(B$9&gt;=8/24,B$9&lt;14/24)</formula>
    </cfRule>
    <cfRule type="expression" dxfId="8856" priority="65">
      <formula>B$9&lt;8/24</formula>
    </cfRule>
  </conditionalFormatting>
  <conditionalFormatting sqref="B52">
    <cfRule type="expression" dxfId="8855" priority="58">
      <formula>B$9&gt;=20/24</formula>
    </cfRule>
    <cfRule type="expression" dxfId="8854" priority="59">
      <formula>AND(B$9&gt;=14/24,B$9&lt;20/24)</formula>
    </cfRule>
    <cfRule type="expression" dxfId="8853" priority="60">
      <formula>AND(B$9&gt;=8/24,B$9&lt;14/24)</formula>
    </cfRule>
    <cfRule type="expression" dxfId="8852" priority="61">
      <formula>B$9&lt;8/24</formula>
    </cfRule>
  </conditionalFormatting>
  <conditionalFormatting sqref="B52">
    <cfRule type="expression" dxfId="8851" priority="57">
      <formula>B52&gt;$AG52</formula>
    </cfRule>
  </conditionalFormatting>
  <conditionalFormatting sqref="B59:C64">
    <cfRule type="expression" dxfId="8850" priority="49">
      <formula>B$9&gt;=20/24</formula>
    </cfRule>
    <cfRule type="expression" dxfId="8849" priority="50">
      <formula>AND(B$9&gt;=14/24,B$9&lt;20/24)</formula>
    </cfRule>
    <cfRule type="expression" dxfId="8848" priority="51">
      <formula>AND(B$9&gt;=8/24,B$9&lt;14/24)</formula>
    </cfRule>
    <cfRule type="expression" dxfId="8847" priority="52">
      <formula>B$9&lt;8/24</formula>
    </cfRule>
  </conditionalFormatting>
  <conditionalFormatting sqref="B59:C64">
    <cfRule type="expression" dxfId="8846" priority="48">
      <formula>B59&gt;$AG59</formula>
    </cfRule>
  </conditionalFormatting>
  <conditionalFormatting sqref="B13:D15 B45:Q45">
    <cfRule type="expression" dxfId="8845" priority="47">
      <formula>B13&gt;$AG13</formula>
    </cfRule>
  </conditionalFormatting>
  <conditionalFormatting sqref="B12:D12">
    <cfRule type="expression" dxfId="8844" priority="43">
      <formula>B$9&gt;=20/24</formula>
    </cfRule>
    <cfRule type="expression" dxfId="8843" priority="44">
      <formula>AND(B$9&gt;=14/24,B$9&lt;20/24)</formula>
    </cfRule>
    <cfRule type="expression" dxfId="8842" priority="45">
      <formula>AND(B$9&gt;=8/24,B$9&lt;14/24)</formula>
    </cfRule>
    <cfRule type="expression" dxfId="8841" priority="46">
      <formula>B$9&lt;8/24</formula>
    </cfRule>
  </conditionalFormatting>
  <conditionalFormatting sqref="B12:D12">
    <cfRule type="expression" dxfId="8840" priority="42">
      <formula>B12&gt;$AG12</formula>
    </cfRule>
  </conditionalFormatting>
  <conditionalFormatting sqref="B13:D15">
    <cfRule type="expression" dxfId="8839" priority="38">
      <formula>B$9&gt;=20/24</formula>
    </cfRule>
    <cfRule type="expression" dxfId="8838" priority="39">
      <formula>AND(B$9&gt;=14/24,B$9&lt;20/24)</formula>
    </cfRule>
    <cfRule type="expression" dxfId="8837" priority="40">
      <formula>AND(B$9&gt;=8/24,B$9&lt;14/24)</formula>
    </cfRule>
    <cfRule type="expression" dxfId="8836" priority="41">
      <formula>B$9&lt;8/24</formula>
    </cfRule>
  </conditionalFormatting>
  <conditionalFormatting sqref="B45:Q45">
    <cfRule type="expression" dxfId="8835" priority="34">
      <formula>B$9&gt;=20/24</formula>
    </cfRule>
    <cfRule type="expression" dxfId="8834" priority="35">
      <formula>AND(B$9&gt;=14/24,B$9&lt;20/24)</formula>
    </cfRule>
    <cfRule type="expression" dxfId="8833" priority="36">
      <formula>AND(B$9&gt;=8/24,B$9&lt;14/24)</formula>
    </cfRule>
    <cfRule type="expression" dxfId="8832" priority="37">
      <formula>B$9&lt;8/24</formula>
    </cfRule>
  </conditionalFormatting>
  <conditionalFormatting sqref="B77:C81">
    <cfRule type="expression" dxfId="8831" priority="30">
      <formula>B$9&gt;=20/24</formula>
    </cfRule>
    <cfRule type="expression" dxfId="8830" priority="31">
      <formula>AND(B$9&gt;=14/24,B$9&lt;20/24)</formula>
    </cfRule>
    <cfRule type="expression" dxfId="8829" priority="32">
      <formula>AND(B$9&gt;=8/24,B$9&lt;14/24)</formula>
    </cfRule>
    <cfRule type="expression" dxfId="8828" priority="33">
      <formula>B$9&lt;8/24</formula>
    </cfRule>
  </conditionalFormatting>
  <conditionalFormatting sqref="B46:Q46">
    <cfRule type="expression" dxfId="8827" priority="26">
      <formula>B$9&gt;=20/24</formula>
    </cfRule>
    <cfRule type="expression" dxfId="8826" priority="27">
      <formula>AND(B$9&gt;=14/24,B$9&lt;20/24)</formula>
    </cfRule>
    <cfRule type="expression" dxfId="8825" priority="28">
      <formula>AND(B$9&gt;=8/24,B$9&lt;14/24)</formula>
    </cfRule>
    <cfRule type="expression" dxfId="8824" priority="29">
      <formula>B$9&lt;8/24</formula>
    </cfRule>
  </conditionalFormatting>
  <conditionalFormatting sqref="B46:Q46">
    <cfRule type="expression" dxfId="8823" priority="25">
      <formula>B46&gt;$AG46</formula>
    </cfRule>
  </conditionalFormatting>
  <conditionalFormatting sqref="B11:D11">
    <cfRule type="expression" dxfId="8822" priority="21">
      <formula>B$9&gt;=20/24</formula>
    </cfRule>
    <cfRule type="expression" dxfId="8821" priority="22">
      <formula>AND(B$9&gt;=14/24,B$9&lt;20/24)</formula>
    </cfRule>
    <cfRule type="expression" dxfId="8820" priority="23">
      <formula>AND(B$9&gt;=8/24,B$9&lt;14/24)</formula>
    </cfRule>
    <cfRule type="expression" dxfId="8819" priority="24">
      <formula>B$9&lt;8/24</formula>
    </cfRule>
  </conditionalFormatting>
  <conditionalFormatting sqref="B11:D11">
    <cfRule type="expression" dxfId="8818" priority="20">
      <formula>B11&gt;$AG11</formula>
    </cfRule>
  </conditionalFormatting>
  <conditionalFormatting sqref="B16:D16">
    <cfRule type="expression" dxfId="8817" priority="16">
      <formula>B$9&gt;=20/24</formula>
    </cfRule>
    <cfRule type="expression" dxfId="8816" priority="17">
      <formula>AND(B$9&gt;=14/24,B$9&lt;20/24)</formula>
    </cfRule>
    <cfRule type="expression" dxfId="8815" priority="18">
      <formula>AND(B$9&gt;=8/24,B$9&lt;14/24)</formula>
    </cfRule>
    <cfRule type="expression" dxfId="8814" priority="19">
      <formula>B$9&lt;8/24</formula>
    </cfRule>
  </conditionalFormatting>
  <conditionalFormatting sqref="B16:D16">
    <cfRule type="expression" dxfId="8813" priority="15">
      <formula>B16&gt;$AG16</formula>
    </cfRule>
  </conditionalFormatting>
  <conditionalFormatting sqref="B33:Q33">
    <cfRule type="expression" dxfId="8812" priority="11">
      <formula>B$9&gt;=20/24</formula>
    </cfRule>
    <cfRule type="expression" dxfId="8811" priority="12">
      <formula>AND(B$9&gt;=14/24,B$9&lt;20/24)</formula>
    </cfRule>
    <cfRule type="expression" dxfId="8810" priority="13">
      <formula>AND(B$9&gt;=8/24,B$9&lt;14/24)</formula>
    </cfRule>
    <cfRule type="expression" dxfId="8809" priority="14">
      <formula>B$9&lt;8/24</formula>
    </cfRule>
  </conditionalFormatting>
  <conditionalFormatting sqref="B33:Q33">
    <cfRule type="expression" dxfId="8808" priority="10">
      <formula>B33&gt;$AG33</formula>
    </cfRule>
  </conditionalFormatting>
  <conditionalFormatting sqref="B44:Q44">
    <cfRule type="expression" dxfId="8807" priority="9">
      <formula>B44&gt;$AG44</formula>
    </cfRule>
  </conditionalFormatting>
  <conditionalFormatting sqref="B44:Q44">
    <cfRule type="expression" dxfId="8806" priority="5">
      <formula>B$9&gt;=20/24</formula>
    </cfRule>
    <cfRule type="expression" dxfId="8805" priority="6">
      <formula>AND(B$9&gt;=14/24,B$9&lt;20/24)</formula>
    </cfRule>
    <cfRule type="expression" dxfId="8804" priority="7">
      <formula>AND(B$9&gt;=8/24,B$9&lt;14/24)</formula>
    </cfRule>
    <cfRule type="expression" dxfId="8803" priority="8">
      <formula>B$9&lt;8/24</formula>
    </cfRule>
  </conditionalFormatting>
  <conditionalFormatting sqref="B117">
    <cfRule type="expression" dxfId="8802" priority="1">
      <formula>B$9&gt;=20/24</formula>
    </cfRule>
    <cfRule type="expression" dxfId="8801" priority="2">
      <formula>AND(B$9&gt;=14/24,B$9&lt;20/24)</formula>
    </cfRule>
    <cfRule type="expression" dxfId="8800" priority="3">
      <formula>AND(B$9&gt;=8/24,B$9&lt;14/24)</formula>
    </cfRule>
    <cfRule type="expression" dxfId="8799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5" id="{AE24BD78-61EC-4845-9EB3-DA6245BFC0C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36" id="{54C65C44-A513-43C7-8F81-E0EA3526E7B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7" id="{A99CB88E-FF91-4AAD-8E3A-11E11CA014E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8" id="{F60E85F3-1C5C-4023-AE46-A2C0FA6F169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53" id="{937D5CB4-83F9-42E0-A092-3F316D9B859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4" id="{2131F202-7E7B-4251-822D-BB111462406C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5" id="{4EC332B0-C3A8-4B59-B3A7-95ADCC1FDD3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6" id="{DAD0FCE1-2804-4AA4-8DA6-E4F440FD6A4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workbookViewId="0">
      <pane ySplit="10" topLeftCell="A56" activePane="bottomLeft" state="frozen"/>
      <selection activeCell="Z85" sqref="Z85"/>
      <selection pane="bottomLeft" activeCell="Z75" sqref="Z75:AF75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2079/12/4</v>
      </c>
      <c r="C4" s="236"/>
      <c r="D4" s="236"/>
      <c r="E4" s="237" t="str">
        <f ca="1">"2079/"&amp;"12/"&amp;INT(MID(CELL("filename",G6),FIND("]",CELL("filename",G6))+1,200))</f>
        <v>2079/12/4</v>
      </c>
      <c r="F4" s="237"/>
      <c r="G4" s="237"/>
      <c r="H4" s="237" t="str">
        <f ca="1">TEXT(E4,"dddd")</f>
        <v>Monday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390.6</v>
      </c>
      <c r="C5" s="33">
        <f t="shared" si="0"/>
        <v>461.09999999999997</v>
      </c>
      <c r="D5" s="33">
        <f t="shared" si="0"/>
        <v>583.70000000000005</v>
      </c>
      <c r="E5" s="33">
        <f t="shared" si="0"/>
        <v>546.09999999999991</v>
      </c>
      <c r="F5" s="33">
        <f t="shared" si="0"/>
        <v>528.79999999999995</v>
      </c>
      <c r="G5" s="33">
        <f t="shared" si="0"/>
        <v>615.1</v>
      </c>
      <c r="H5" s="33">
        <f t="shared" si="0"/>
        <v>602.20000000000005</v>
      </c>
      <c r="I5" s="33">
        <f t="shared" si="0"/>
        <v>582.79999999999995</v>
      </c>
      <c r="J5" s="33">
        <f t="shared" si="0"/>
        <v>570.20000000000005</v>
      </c>
      <c r="K5" s="33">
        <f t="shared" si="0"/>
        <v>560.69999999999993</v>
      </c>
      <c r="L5" s="33">
        <f t="shared" si="0"/>
        <v>544.69999999999993</v>
      </c>
      <c r="M5" s="33">
        <f t="shared" si="0"/>
        <v>653</v>
      </c>
      <c r="N5" s="33">
        <f t="shared" si="0"/>
        <v>653</v>
      </c>
      <c r="O5" s="33">
        <f t="shared" si="0"/>
        <v>619.4</v>
      </c>
      <c r="P5" s="33">
        <f t="shared" si="0"/>
        <v>618.5</v>
      </c>
      <c r="Q5" s="33">
        <f t="shared" si="0"/>
        <v>631.09999999999991</v>
      </c>
      <c r="R5" s="33">
        <f t="shared" si="0"/>
        <v>621.70000000000005</v>
      </c>
      <c r="S5" s="33">
        <f t="shared" si="0"/>
        <v>667.9</v>
      </c>
      <c r="T5" s="33">
        <f t="shared" si="0"/>
        <v>698.9</v>
      </c>
      <c r="U5" s="33">
        <f t="shared" si="0"/>
        <v>625.4</v>
      </c>
      <c r="V5" s="33">
        <f t="shared" si="0"/>
        <v>628.9</v>
      </c>
      <c r="W5" s="33">
        <f t="shared" si="0"/>
        <v>597</v>
      </c>
      <c r="X5" s="33">
        <f t="shared" si="0"/>
        <v>554.1</v>
      </c>
      <c r="Y5" s="33">
        <f t="shared" si="0"/>
        <v>411</v>
      </c>
      <c r="Z5" s="33">
        <f t="shared" si="0"/>
        <v>377.5</v>
      </c>
      <c r="AA5" s="33">
        <f t="shared" si="0"/>
        <v>375.4</v>
      </c>
      <c r="AB5" s="33">
        <f t="shared" si="0"/>
        <v>361.4</v>
      </c>
      <c r="AC5" s="33">
        <f t="shared" si="0"/>
        <v>439.2</v>
      </c>
      <c r="AD5" s="33">
        <f t="shared" si="0"/>
        <v>542.4</v>
      </c>
      <c r="AE5" s="33">
        <f t="shared" si="0"/>
        <v>590.70000000000005</v>
      </c>
      <c r="AF5" s="33">
        <f>B82</f>
        <v>375.6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1533MW at 9:00hr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Load=1290</v>
      </c>
      <c r="B7" s="38">
        <f t="shared" ref="B7:AF7" si="1">B89</f>
        <v>1327.6399999999999</v>
      </c>
      <c r="C7" s="38">
        <f t="shared" si="1"/>
        <v>1289.6399999999999</v>
      </c>
      <c r="D7" s="38">
        <f t="shared" si="1"/>
        <v>1340.4399999999998</v>
      </c>
      <c r="E7" s="38">
        <f t="shared" si="1"/>
        <v>1342.3400000000001</v>
      </c>
      <c r="F7" s="38">
        <f t="shared" si="1"/>
        <v>1299.8399999999999</v>
      </c>
      <c r="G7" s="38">
        <f t="shared" si="1"/>
        <v>1301.3399999999999</v>
      </c>
      <c r="H7" s="38">
        <f t="shared" si="1"/>
        <v>1335.44</v>
      </c>
      <c r="I7" s="38">
        <f t="shared" si="1"/>
        <v>1419.64</v>
      </c>
      <c r="J7" s="38">
        <f t="shared" si="1"/>
        <v>1420.2399999999998</v>
      </c>
      <c r="K7" s="38">
        <f t="shared" si="1"/>
        <v>1479.6399999999999</v>
      </c>
      <c r="L7" s="38">
        <f t="shared" si="1"/>
        <v>1524.84</v>
      </c>
      <c r="M7" s="38">
        <f t="shared" si="1"/>
        <v>1446.44</v>
      </c>
      <c r="N7" s="38">
        <f>N89</f>
        <v>1532.74</v>
      </c>
      <c r="O7" s="38">
        <f t="shared" si="1"/>
        <v>1532.74</v>
      </c>
      <c r="P7" s="38">
        <f t="shared" si="1"/>
        <v>1389.1399999999999</v>
      </c>
      <c r="Q7" s="38">
        <f t="shared" si="1"/>
        <v>1546.74</v>
      </c>
      <c r="R7" s="38">
        <f t="shared" si="1"/>
        <v>1582.04</v>
      </c>
      <c r="S7" s="38">
        <f t="shared" si="1"/>
        <v>1571.8400000000001</v>
      </c>
      <c r="T7" s="38">
        <f t="shared" si="1"/>
        <v>1575.54</v>
      </c>
      <c r="U7" s="38">
        <f t="shared" si="1"/>
        <v>1555.8400000000001</v>
      </c>
      <c r="V7" s="38">
        <f t="shared" si="1"/>
        <v>1607.1399999999999</v>
      </c>
      <c r="W7" s="38">
        <f t="shared" si="1"/>
        <v>1598.44</v>
      </c>
      <c r="X7" s="38">
        <f t="shared" si="1"/>
        <v>1676.6399999999999</v>
      </c>
      <c r="Y7" s="38">
        <f t="shared" si="1"/>
        <v>1726.24</v>
      </c>
      <c r="Z7" s="38">
        <f t="shared" si="1"/>
        <v>1819.44</v>
      </c>
      <c r="AA7" s="38">
        <f t="shared" si="1"/>
        <v>1859.24</v>
      </c>
      <c r="AB7" s="38">
        <f t="shared" si="1"/>
        <v>1791.1399999999999</v>
      </c>
      <c r="AC7" s="38">
        <f t="shared" si="1"/>
        <v>1777.1399999999999</v>
      </c>
      <c r="AD7" s="38">
        <f t="shared" si="1"/>
        <v>1705.34</v>
      </c>
      <c r="AE7" s="38">
        <f t="shared" si="1"/>
        <v>1478.04</v>
      </c>
      <c r="AF7" s="38">
        <f t="shared" si="1"/>
        <v>1346.74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25</v>
      </c>
      <c r="C11" s="50">
        <v>25</v>
      </c>
      <c r="D11" s="50">
        <v>25</v>
      </c>
      <c r="E11" s="50">
        <v>25</v>
      </c>
      <c r="F11" s="50">
        <v>25</v>
      </c>
      <c r="G11" s="50">
        <v>25</v>
      </c>
      <c r="H11" s="50">
        <v>25</v>
      </c>
      <c r="I11" s="50">
        <v>25</v>
      </c>
      <c r="J11" s="50">
        <v>25</v>
      </c>
      <c r="K11" s="50">
        <v>25</v>
      </c>
      <c r="L11" s="50">
        <v>25</v>
      </c>
      <c r="M11" s="50">
        <v>25</v>
      </c>
      <c r="N11" s="50">
        <v>25</v>
      </c>
      <c r="O11" s="50">
        <v>25</v>
      </c>
      <c r="P11" s="50">
        <v>25</v>
      </c>
      <c r="Q11" s="50">
        <v>25</v>
      </c>
      <c r="R11" s="50">
        <v>23</v>
      </c>
      <c r="S11" s="50">
        <v>23</v>
      </c>
      <c r="T11" s="50">
        <v>23</v>
      </c>
      <c r="U11" s="50">
        <v>23</v>
      </c>
      <c r="V11" s="50">
        <v>23</v>
      </c>
      <c r="W11" s="50">
        <v>23</v>
      </c>
      <c r="X11" s="50">
        <v>23</v>
      </c>
      <c r="Y11" s="50">
        <v>23</v>
      </c>
      <c r="Z11" s="50">
        <v>23</v>
      </c>
      <c r="AA11" s="50">
        <v>23</v>
      </c>
      <c r="AB11" s="50">
        <v>23</v>
      </c>
      <c r="AC11" s="50">
        <v>23</v>
      </c>
      <c r="AD11" s="50">
        <v>23</v>
      </c>
      <c r="AE11" s="50">
        <v>23</v>
      </c>
      <c r="AF11" s="50">
        <v>23</v>
      </c>
      <c r="AG11" s="51">
        <v>86</v>
      </c>
      <c r="AH11" s="52">
        <f t="shared" ref="AH11:AH74" si="2">MAX(B11:AF11)</f>
        <v>25</v>
      </c>
      <c r="AI11" s="53">
        <f t="shared" ref="AI11:AI74" si="3">MIN(B11:AF11)</f>
        <v>23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14.1</v>
      </c>
      <c r="C12" s="50">
        <v>14.1</v>
      </c>
      <c r="D12" s="50">
        <v>14.1</v>
      </c>
      <c r="E12" s="50">
        <v>13.1</v>
      </c>
      <c r="F12" s="50">
        <v>13.1</v>
      </c>
      <c r="G12" s="50">
        <v>13.1</v>
      </c>
      <c r="H12" s="50">
        <v>13.1</v>
      </c>
      <c r="I12" s="50">
        <v>13.1</v>
      </c>
      <c r="J12" s="50">
        <v>13.1</v>
      </c>
      <c r="K12" s="50">
        <v>13.1</v>
      </c>
      <c r="L12" s="50">
        <v>13.1</v>
      </c>
      <c r="M12" s="50">
        <v>13.1</v>
      </c>
      <c r="N12" s="50">
        <v>13.1</v>
      </c>
      <c r="O12" s="50">
        <v>13.1</v>
      </c>
      <c r="P12" s="50">
        <v>13.1</v>
      </c>
      <c r="Q12" s="50">
        <v>13.1</v>
      </c>
      <c r="R12" s="50">
        <v>16.2</v>
      </c>
      <c r="S12" s="50">
        <v>16.2</v>
      </c>
      <c r="T12" s="50">
        <v>16.2</v>
      </c>
      <c r="U12" s="50">
        <v>16.2</v>
      </c>
      <c r="V12" s="50">
        <v>16.2</v>
      </c>
      <c r="W12" s="50">
        <v>16.2</v>
      </c>
      <c r="X12" s="50">
        <v>16.2</v>
      </c>
      <c r="Y12" s="50">
        <v>16.2</v>
      </c>
      <c r="Z12" s="50">
        <v>16.2</v>
      </c>
      <c r="AA12" s="50">
        <v>16.2</v>
      </c>
      <c r="AB12" s="50">
        <v>16.2</v>
      </c>
      <c r="AC12" s="50">
        <v>16.2</v>
      </c>
      <c r="AD12" s="50">
        <v>16.2</v>
      </c>
      <c r="AE12" s="50">
        <v>16.2</v>
      </c>
      <c r="AF12" s="50">
        <v>16.2</v>
      </c>
      <c r="AG12" s="51">
        <v>52.4</v>
      </c>
      <c r="AH12" s="52">
        <f t="shared" si="2"/>
        <v>16.2</v>
      </c>
      <c r="AI12" s="53">
        <f t="shared" si="3"/>
        <v>13.1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33.9</v>
      </c>
      <c r="C13" s="50">
        <v>33.9</v>
      </c>
      <c r="D13" s="50">
        <v>33.9</v>
      </c>
      <c r="E13" s="50">
        <v>35.4</v>
      </c>
      <c r="F13" s="50">
        <v>35.4</v>
      </c>
      <c r="G13" s="50">
        <v>35.4</v>
      </c>
      <c r="H13" s="50">
        <v>35.4</v>
      </c>
      <c r="I13" s="50">
        <v>35.4</v>
      </c>
      <c r="J13" s="50">
        <v>35.4</v>
      </c>
      <c r="K13" s="50">
        <v>35.4</v>
      </c>
      <c r="L13" s="50">
        <v>35.4</v>
      </c>
      <c r="M13" s="50">
        <v>35.4</v>
      </c>
      <c r="N13" s="50">
        <v>35.4</v>
      </c>
      <c r="O13" s="50">
        <v>35.4</v>
      </c>
      <c r="P13" s="50">
        <v>35.4</v>
      </c>
      <c r="Q13" s="50">
        <v>35.4</v>
      </c>
      <c r="R13" s="50">
        <v>35.6</v>
      </c>
      <c r="S13" s="50">
        <v>35.6</v>
      </c>
      <c r="T13" s="50">
        <v>35.6</v>
      </c>
      <c r="U13" s="50">
        <v>35.6</v>
      </c>
      <c r="V13" s="50">
        <v>35.6</v>
      </c>
      <c r="W13" s="50">
        <v>35.6</v>
      </c>
      <c r="X13" s="50">
        <v>35.6</v>
      </c>
      <c r="Y13" s="50">
        <v>35.6</v>
      </c>
      <c r="Z13" s="50">
        <v>35.6</v>
      </c>
      <c r="AA13" s="50">
        <v>35.6</v>
      </c>
      <c r="AB13" s="50">
        <v>35.6</v>
      </c>
      <c r="AC13" s="50">
        <v>35.6</v>
      </c>
      <c r="AD13" s="50">
        <v>35.6</v>
      </c>
      <c r="AE13" s="50">
        <v>35.6</v>
      </c>
      <c r="AF13" s="50">
        <v>35.6</v>
      </c>
      <c r="AG13" s="55">
        <v>50</v>
      </c>
      <c r="AH13" s="52">
        <f t="shared" si="2"/>
        <v>35.6</v>
      </c>
      <c r="AI13" s="53">
        <f t="shared" si="3"/>
        <v>33.9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16</v>
      </c>
      <c r="C14" s="50">
        <v>16</v>
      </c>
      <c r="D14" s="50">
        <v>16</v>
      </c>
      <c r="E14" s="50">
        <v>17</v>
      </c>
      <c r="F14" s="50">
        <v>17</v>
      </c>
      <c r="G14" s="50">
        <v>17</v>
      </c>
      <c r="H14" s="50">
        <v>17</v>
      </c>
      <c r="I14" s="50">
        <v>17</v>
      </c>
      <c r="J14" s="50">
        <v>17</v>
      </c>
      <c r="K14" s="50">
        <v>17</v>
      </c>
      <c r="L14" s="50">
        <v>17</v>
      </c>
      <c r="M14" s="50">
        <v>17</v>
      </c>
      <c r="N14" s="50">
        <v>17</v>
      </c>
      <c r="O14" s="50">
        <v>17</v>
      </c>
      <c r="P14" s="50">
        <v>17</v>
      </c>
      <c r="Q14" s="50">
        <v>17</v>
      </c>
      <c r="R14" s="50">
        <v>15.3</v>
      </c>
      <c r="S14" s="50">
        <v>15.3</v>
      </c>
      <c r="T14" s="50">
        <v>15.3</v>
      </c>
      <c r="U14" s="50">
        <v>15.3</v>
      </c>
      <c r="V14" s="50">
        <v>15.3</v>
      </c>
      <c r="W14" s="50">
        <v>15.3</v>
      </c>
      <c r="X14" s="50">
        <v>15.3</v>
      </c>
      <c r="Y14" s="50">
        <v>15.3</v>
      </c>
      <c r="Z14" s="50">
        <v>15.3</v>
      </c>
      <c r="AA14" s="50">
        <v>15.3</v>
      </c>
      <c r="AB14" s="50">
        <v>15.3</v>
      </c>
      <c r="AC14" s="50">
        <v>15.3</v>
      </c>
      <c r="AD14" s="50">
        <v>15.3</v>
      </c>
      <c r="AE14" s="50">
        <v>15.3</v>
      </c>
      <c r="AF14" s="50">
        <v>15.3</v>
      </c>
      <c r="AG14" s="55">
        <v>45</v>
      </c>
      <c r="AH14" s="52">
        <f t="shared" si="2"/>
        <v>17</v>
      </c>
      <c r="AI14" s="53">
        <f t="shared" si="3"/>
        <v>15.3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11</v>
      </c>
      <c r="C15" s="50">
        <v>11</v>
      </c>
      <c r="D15" s="50">
        <v>11</v>
      </c>
      <c r="E15" s="50">
        <v>11</v>
      </c>
      <c r="F15" s="50">
        <v>11</v>
      </c>
      <c r="G15" s="50">
        <v>11</v>
      </c>
      <c r="H15" s="50">
        <v>11</v>
      </c>
      <c r="I15" s="50">
        <v>11</v>
      </c>
      <c r="J15" s="50">
        <v>11</v>
      </c>
      <c r="K15" s="50">
        <v>11</v>
      </c>
      <c r="L15" s="50">
        <v>11</v>
      </c>
      <c r="M15" s="50">
        <v>11</v>
      </c>
      <c r="N15" s="50">
        <v>11</v>
      </c>
      <c r="O15" s="50">
        <v>11</v>
      </c>
      <c r="P15" s="50">
        <v>11</v>
      </c>
      <c r="Q15" s="50">
        <v>11</v>
      </c>
      <c r="R15" s="50">
        <v>10.5</v>
      </c>
      <c r="S15" s="50">
        <v>10.5</v>
      </c>
      <c r="T15" s="50">
        <v>10.5</v>
      </c>
      <c r="U15" s="50">
        <v>10.5</v>
      </c>
      <c r="V15" s="50">
        <v>10.5</v>
      </c>
      <c r="W15" s="50">
        <v>10.5</v>
      </c>
      <c r="X15" s="50">
        <v>10.5</v>
      </c>
      <c r="Y15" s="50">
        <v>10.5</v>
      </c>
      <c r="Z15" s="50">
        <v>10.5</v>
      </c>
      <c r="AA15" s="50">
        <v>10.5</v>
      </c>
      <c r="AB15" s="50">
        <v>10.5</v>
      </c>
      <c r="AC15" s="50">
        <v>10.5</v>
      </c>
      <c r="AD15" s="50">
        <v>10.5</v>
      </c>
      <c r="AE15" s="50">
        <v>10.5</v>
      </c>
      <c r="AF15" s="50">
        <v>10.5</v>
      </c>
      <c r="AG15" s="55">
        <v>42</v>
      </c>
      <c r="AH15" s="52">
        <f t="shared" si="2"/>
        <v>11</v>
      </c>
      <c r="AI15" s="53">
        <f t="shared" si="3"/>
        <v>10.5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11</v>
      </c>
      <c r="C16" s="50">
        <v>11</v>
      </c>
      <c r="D16" s="50">
        <v>11</v>
      </c>
      <c r="E16" s="50">
        <v>11</v>
      </c>
      <c r="F16" s="50">
        <v>11</v>
      </c>
      <c r="G16" s="50">
        <v>11</v>
      </c>
      <c r="H16" s="50">
        <v>11</v>
      </c>
      <c r="I16" s="50">
        <v>11</v>
      </c>
      <c r="J16" s="50">
        <v>11</v>
      </c>
      <c r="K16" s="50">
        <v>11</v>
      </c>
      <c r="L16" s="50">
        <v>11</v>
      </c>
      <c r="M16" s="50">
        <v>11</v>
      </c>
      <c r="N16" s="50">
        <v>11</v>
      </c>
      <c r="O16" s="50">
        <v>11</v>
      </c>
      <c r="P16" s="50">
        <v>11</v>
      </c>
      <c r="Q16" s="50">
        <v>11</v>
      </c>
      <c r="R16" s="50">
        <v>14</v>
      </c>
      <c r="S16" s="50">
        <v>14</v>
      </c>
      <c r="T16" s="50">
        <v>14</v>
      </c>
      <c r="U16" s="50">
        <v>14</v>
      </c>
      <c r="V16" s="50">
        <v>14</v>
      </c>
      <c r="W16" s="50">
        <v>14</v>
      </c>
      <c r="X16" s="50">
        <v>14</v>
      </c>
      <c r="Y16" s="50">
        <v>14</v>
      </c>
      <c r="Z16" s="50">
        <v>14</v>
      </c>
      <c r="AA16" s="50">
        <v>14</v>
      </c>
      <c r="AB16" s="50">
        <v>14</v>
      </c>
      <c r="AC16" s="50">
        <v>14</v>
      </c>
      <c r="AD16" s="50">
        <v>14</v>
      </c>
      <c r="AE16" s="50">
        <v>14</v>
      </c>
      <c r="AF16" s="50">
        <v>14</v>
      </c>
      <c r="AG16" s="55">
        <v>36</v>
      </c>
      <c r="AH16" s="52">
        <f t="shared" si="2"/>
        <v>14</v>
      </c>
      <c r="AI16" s="53">
        <f t="shared" si="3"/>
        <v>11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10</v>
      </c>
      <c r="C18" s="50">
        <v>10</v>
      </c>
      <c r="D18" s="50">
        <v>10</v>
      </c>
      <c r="E18" s="50">
        <v>12.2</v>
      </c>
      <c r="F18" s="50">
        <v>12.2</v>
      </c>
      <c r="G18" s="50">
        <v>12.2</v>
      </c>
      <c r="H18" s="50">
        <v>12.2</v>
      </c>
      <c r="I18" s="50">
        <v>12.2</v>
      </c>
      <c r="J18" s="50">
        <v>12.2</v>
      </c>
      <c r="K18" s="50">
        <v>12.2</v>
      </c>
      <c r="L18" s="50">
        <v>12.2</v>
      </c>
      <c r="M18" s="50">
        <v>12.2</v>
      </c>
      <c r="N18" s="50">
        <v>12.2</v>
      </c>
      <c r="O18" s="50">
        <v>12.2</v>
      </c>
      <c r="P18" s="50">
        <v>12.2</v>
      </c>
      <c r="Q18" s="50">
        <v>12.2</v>
      </c>
      <c r="R18" s="50">
        <v>10.4</v>
      </c>
      <c r="S18" s="50">
        <v>10.4</v>
      </c>
      <c r="T18" s="50">
        <v>10.4</v>
      </c>
      <c r="U18" s="50">
        <v>10.4</v>
      </c>
      <c r="V18" s="50">
        <v>10.4</v>
      </c>
      <c r="W18" s="50">
        <v>10.4</v>
      </c>
      <c r="X18" s="50">
        <v>10.4</v>
      </c>
      <c r="Y18" s="50">
        <v>10.4</v>
      </c>
      <c r="Z18" s="50">
        <v>10.4</v>
      </c>
      <c r="AA18" s="50">
        <v>10.4</v>
      </c>
      <c r="AB18" s="50">
        <v>10.4</v>
      </c>
      <c r="AC18" s="50">
        <v>10.4</v>
      </c>
      <c r="AD18" s="50">
        <v>10.4</v>
      </c>
      <c r="AE18" s="50">
        <v>10.4</v>
      </c>
      <c r="AF18" s="50">
        <v>10.4</v>
      </c>
      <c r="AG18" s="56">
        <v>30</v>
      </c>
      <c r="AH18" s="52">
        <f t="shared" si="2"/>
        <v>12.2</v>
      </c>
      <c r="AI18" s="53">
        <f t="shared" si="3"/>
        <v>10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6.6</v>
      </c>
      <c r="C19" s="50">
        <v>6.6</v>
      </c>
      <c r="D19" s="50">
        <v>6.6</v>
      </c>
      <c r="E19" s="50">
        <v>6.6</v>
      </c>
      <c r="F19" s="50">
        <v>6.6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6.6</v>
      </c>
      <c r="N19" s="50">
        <v>6.6</v>
      </c>
      <c r="O19" s="50">
        <v>6.6</v>
      </c>
      <c r="P19" s="50">
        <v>6.6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6.6</v>
      </c>
      <c r="AA19" s="50">
        <v>6.6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6.6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9</v>
      </c>
      <c r="C20" s="50">
        <v>9</v>
      </c>
      <c r="D20" s="50">
        <v>9</v>
      </c>
      <c r="E20" s="50">
        <v>9</v>
      </c>
      <c r="F20" s="50">
        <v>9</v>
      </c>
      <c r="G20" s="50">
        <v>9</v>
      </c>
      <c r="H20" s="50">
        <v>9</v>
      </c>
      <c r="I20" s="50">
        <v>9</v>
      </c>
      <c r="J20" s="50">
        <v>9</v>
      </c>
      <c r="K20" s="50">
        <v>9</v>
      </c>
      <c r="L20" s="50">
        <v>9</v>
      </c>
      <c r="M20" s="50">
        <v>9</v>
      </c>
      <c r="N20" s="50">
        <v>9</v>
      </c>
      <c r="O20" s="50">
        <v>9</v>
      </c>
      <c r="P20" s="50">
        <v>9</v>
      </c>
      <c r="Q20" s="50">
        <v>9</v>
      </c>
      <c r="R20" s="50">
        <v>9</v>
      </c>
      <c r="S20" s="50">
        <v>9</v>
      </c>
      <c r="T20" s="50">
        <v>9</v>
      </c>
      <c r="U20" s="50">
        <v>9</v>
      </c>
      <c r="V20" s="50">
        <v>9</v>
      </c>
      <c r="W20" s="50">
        <v>9</v>
      </c>
      <c r="X20" s="50">
        <v>9</v>
      </c>
      <c r="Y20" s="50">
        <v>9</v>
      </c>
      <c r="Z20" s="50">
        <v>9</v>
      </c>
      <c r="AA20" s="50">
        <v>9</v>
      </c>
      <c r="AB20" s="50">
        <v>9</v>
      </c>
      <c r="AC20" s="50">
        <v>9</v>
      </c>
      <c r="AD20" s="50">
        <v>9</v>
      </c>
      <c r="AE20" s="50">
        <v>9</v>
      </c>
      <c r="AF20" s="50">
        <v>9</v>
      </c>
      <c r="AG20" s="55">
        <v>28</v>
      </c>
      <c r="AH20" s="52">
        <f t="shared" si="2"/>
        <v>9</v>
      </c>
      <c r="AI20" s="53">
        <f t="shared" si="3"/>
        <v>9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6.5</v>
      </c>
      <c r="C21" s="50">
        <v>6.5</v>
      </c>
      <c r="D21" s="50">
        <v>6.5</v>
      </c>
      <c r="E21" s="50">
        <v>6.5</v>
      </c>
      <c r="F21" s="50">
        <v>6.5</v>
      </c>
      <c r="G21" s="50">
        <v>6.5</v>
      </c>
      <c r="H21" s="50">
        <v>6.5</v>
      </c>
      <c r="I21" s="50">
        <v>6.5</v>
      </c>
      <c r="J21" s="50">
        <v>6.5</v>
      </c>
      <c r="K21" s="50">
        <v>6.5</v>
      </c>
      <c r="L21" s="50">
        <v>6.5</v>
      </c>
      <c r="M21" s="50">
        <v>6.5</v>
      </c>
      <c r="N21" s="50">
        <v>6.5</v>
      </c>
      <c r="O21" s="50">
        <v>6.5</v>
      </c>
      <c r="P21" s="50">
        <v>6.5</v>
      </c>
      <c r="Q21" s="50">
        <v>6.5</v>
      </c>
      <c r="R21" s="50">
        <v>6.5</v>
      </c>
      <c r="S21" s="50">
        <v>6.5</v>
      </c>
      <c r="T21" s="50">
        <v>6.5</v>
      </c>
      <c r="U21" s="50">
        <v>6.5</v>
      </c>
      <c r="V21" s="50">
        <v>6.5</v>
      </c>
      <c r="W21" s="50">
        <v>6.5</v>
      </c>
      <c r="X21" s="50">
        <v>6.5</v>
      </c>
      <c r="Y21" s="50">
        <v>6.5</v>
      </c>
      <c r="Z21" s="50">
        <v>6.5</v>
      </c>
      <c r="AA21" s="50">
        <v>6.5</v>
      </c>
      <c r="AB21" s="50">
        <v>6.5</v>
      </c>
      <c r="AC21" s="50">
        <v>6.5</v>
      </c>
      <c r="AD21" s="50">
        <v>6.5</v>
      </c>
      <c r="AE21" s="50">
        <v>6.5</v>
      </c>
      <c r="AF21" s="50">
        <v>6.5</v>
      </c>
      <c r="AG21" s="56">
        <v>30</v>
      </c>
      <c r="AH21" s="52">
        <f t="shared" si="2"/>
        <v>6.5</v>
      </c>
      <c r="AI21" s="53">
        <f t="shared" si="3"/>
        <v>6.5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10</v>
      </c>
      <c r="C22" s="50">
        <v>10</v>
      </c>
      <c r="D22" s="50">
        <v>10</v>
      </c>
      <c r="E22" s="50">
        <v>10</v>
      </c>
      <c r="F22" s="50">
        <v>10</v>
      </c>
      <c r="G22" s="50">
        <v>10</v>
      </c>
      <c r="H22" s="50">
        <v>10</v>
      </c>
      <c r="I22" s="50">
        <v>10</v>
      </c>
      <c r="J22" s="50">
        <v>10</v>
      </c>
      <c r="K22" s="50">
        <v>10</v>
      </c>
      <c r="L22" s="50">
        <v>10</v>
      </c>
      <c r="M22" s="50">
        <v>10</v>
      </c>
      <c r="N22" s="50">
        <v>10</v>
      </c>
      <c r="O22" s="50">
        <v>10</v>
      </c>
      <c r="P22" s="50">
        <v>10</v>
      </c>
      <c r="Q22" s="50">
        <v>10</v>
      </c>
      <c r="R22" s="50">
        <v>9.5</v>
      </c>
      <c r="S22" s="50">
        <v>9.5</v>
      </c>
      <c r="T22" s="50">
        <v>9.5</v>
      </c>
      <c r="U22" s="50">
        <v>9.5</v>
      </c>
      <c r="V22" s="50">
        <v>9.5</v>
      </c>
      <c r="W22" s="50">
        <v>9.5</v>
      </c>
      <c r="X22" s="50">
        <v>9.5</v>
      </c>
      <c r="Y22" s="50">
        <v>9.5</v>
      </c>
      <c r="Z22" s="50">
        <v>9.5</v>
      </c>
      <c r="AA22" s="50">
        <v>9.5</v>
      </c>
      <c r="AB22" s="50">
        <v>9.5</v>
      </c>
      <c r="AC22" s="50">
        <v>9.5</v>
      </c>
      <c r="AD22" s="50">
        <v>9.5</v>
      </c>
      <c r="AE22" s="50">
        <v>9.5</v>
      </c>
      <c r="AF22" s="50">
        <v>9.5</v>
      </c>
      <c r="AG22" s="55">
        <v>25</v>
      </c>
      <c r="AH22" s="52">
        <f t="shared" si="2"/>
        <v>10</v>
      </c>
      <c r="AI22" s="53">
        <f t="shared" si="3"/>
        <v>9.5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5">
        <v>25</v>
      </c>
      <c r="AH23" s="52">
        <f t="shared" si="2"/>
        <v>9</v>
      </c>
      <c r="AI23" s="53">
        <f t="shared" si="3"/>
        <v>9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5.7</v>
      </c>
      <c r="C26" s="50">
        <v>5.7</v>
      </c>
      <c r="D26" s="50">
        <v>5.7</v>
      </c>
      <c r="E26" s="50">
        <v>5.7</v>
      </c>
      <c r="F26" s="50">
        <v>5.7</v>
      </c>
      <c r="G26" s="50">
        <v>5.7</v>
      </c>
      <c r="H26" s="50">
        <v>5.7</v>
      </c>
      <c r="I26" s="50">
        <v>5.7</v>
      </c>
      <c r="J26" s="50">
        <v>5.7</v>
      </c>
      <c r="K26" s="50">
        <v>5.7</v>
      </c>
      <c r="L26" s="50">
        <v>5.7</v>
      </c>
      <c r="M26" s="50">
        <v>5.7</v>
      </c>
      <c r="N26" s="50">
        <v>5.7</v>
      </c>
      <c r="O26" s="50">
        <v>5.7</v>
      </c>
      <c r="P26" s="50">
        <v>5.7</v>
      </c>
      <c r="Q26" s="50">
        <v>5.7</v>
      </c>
      <c r="R26" s="50">
        <v>5.6</v>
      </c>
      <c r="S26" s="50">
        <v>5.6</v>
      </c>
      <c r="T26" s="50">
        <v>5.6</v>
      </c>
      <c r="U26" s="50">
        <v>5.6</v>
      </c>
      <c r="V26" s="50">
        <v>5.6</v>
      </c>
      <c r="W26" s="50">
        <v>5.6</v>
      </c>
      <c r="X26" s="50">
        <v>5.6</v>
      </c>
      <c r="Y26" s="50">
        <v>5.6</v>
      </c>
      <c r="Z26" s="50">
        <v>5.6</v>
      </c>
      <c r="AA26" s="50">
        <v>5.6</v>
      </c>
      <c r="AB26" s="50">
        <v>5.6</v>
      </c>
      <c r="AC26" s="50">
        <v>5.6</v>
      </c>
      <c r="AD26" s="50">
        <v>5.6</v>
      </c>
      <c r="AE26" s="50">
        <v>5.6</v>
      </c>
      <c r="AF26" s="50">
        <v>5.6</v>
      </c>
      <c r="AG26" s="55">
        <v>23.5</v>
      </c>
      <c r="AH26" s="52">
        <f t="shared" si="2"/>
        <v>5.7</v>
      </c>
      <c r="AI26" s="53">
        <f t="shared" si="3"/>
        <v>5.6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5">
        <v>22</v>
      </c>
      <c r="AH29" s="52">
        <f t="shared" si="2"/>
        <v>4</v>
      </c>
      <c r="AI29" s="53">
        <f t="shared" si="3"/>
        <v>4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10</v>
      </c>
      <c r="C30" s="50">
        <v>10</v>
      </c>
      <c r="D30" s="50">
        <v>10</v>
      </c>
      <c r="E30" s="50">
        <v>10</v>
      </c>
      <c r="F30" s="50">
        <v>10</v>
      </c>
      <c r="G30" s="50">
        <v>10</v>
      </c>
      <c r="H30" s="50">
        <v>10</v>
      </c>
      <c r="I30" s="50">
        <v>10</v>
      </c>
      <c r="J30" s="50">
        <v>10</v>
      </c>
      <c r="K30" s="50">
        <v>10</v>
      </c>
      <c r="L30" s="50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>
        <v>6</v>
      </c>
      <c r="S30" s="50">
        <v>6</v>
      </c>
      <c r="T30" s="50">
        <v>6</v>
      </c>
      <c r="U30" s="50">
        <v>6</v>
      </c>
      <c r="V30" s="50">
        <v>6</v>
      </c>
      <c r="W30" s="50">
        <v>6</v>
      </c>
      <c r="X30" s="50">
        <v>6</v>
      </c>
      <c r="Y30" s="50">
        <v>6</v>
      </c>
      <c r="Z30" s="50">
        <v>6</v>
      </c>
      <c r="AA30" s="50">
        <v>6</v>
      </c>
      <c r="AB30" s="50">
        <v>6</v>
      </c>
      <c r="AC30" s="50">
        <v>6</v>
      </c>
      <c r="AD30" s="50">
        <v>6</v>
      </c>
      <c r="AE30" s="50">
        <v>6</v>
      </c>
      <c r="AF30" s="50">
        <v>6</v>
      </c>
      <c r="AG30" s="55">
        <v>22</v>
      </c>
      <c r="AH30" s="52">
        <f t="shared" si="2"/>
        <v>10</v>
      </c>
      <c r="AI30" s="53">
        <f t="shared" si="3"/>
        <v>6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55">
        <v>20</v>
      </c>
      <c r="AH31" s="52">
        <f t="shared" si="2"/>
        <v>6</v>
      </c>
      <c r="AI31" s="53">
        <f t="shared" si="3"/>
        <v>6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>
        <v>4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5.2</v>
      </c>
      <c r="C38" s="50">
        <v>5.2</v>
      </c>
      <c r="D38" s="50">
        <v>5.2</v>
      </c>
      <c r="E38" s="50">
        <v>5.2</v>
      </c>
      <c r="F38" s="50">
        <v>5.2</v>
      </c>
      <c r="G38" s="50">
        <v>5.2</v>
      </c>
      <c r="H38" s="50">
        <v>5.2</v>
      </c>
      <c r="I38" s="50">
        <v>5.2</v>
      </c>
      <c r="J38" s="50">
        <v>5.2</v>
      </c>
      <c r="K38" s="50">
        <v>5.2</v>
      </c>
      <c r="L38" s="50">
        <v>5.2</v>
      </c>
      <c r="M38" s="50">
        <v>5.2</v>
      </c>
      <c r="N38" s="50">
        <v>5.2</v>
      </c>
      <c r="O38" s="50">
        <v>5.2</v>
      </c>
      <c r="P38" s="50">
        <v>5.2</v>
      </c>
      <c r="Q38" s="50">
        <v>5.2</v>
      </c>
      <c r="R38" s="50">
        <v>5.2</v>
      </c>
      <c r="S38" s="50">
        <v>5.2</v>
      </c>
      <c r="T38" s="50">
        <v>5.2</v>
      </c>
      <c r="U38" s="50">
        <v>5.2</v>
      </c>
      <c r="V38" s="50">
        <v>5.2</v>
      </c>
      <c r="W38" s="50">
        <v>5.2</v>
      </c>
      <c r="X38" s="50">
        <v>5.2</v>
      </c>
      <c r="Y38" s="50">
        <v>5.2</v>
      </c>
      <c r="Z38" s="50">
        <v>5.2</v>
      </c>
      <c r="AA38" s="50">
        <v>5.2</v>
      </c>
      <c r="AB38" s="50">
        <v>5.2</v>
      </c>
      <c r="AC38" s="50">
        <v>5.2</v>
      </c>
      <c r="AD38" s="50">
        <v>5.2</v>
      </c>
      <c r="AE38" s="50">
        <v>5.2</v>
      </c>
      <c r="AF38" s="50">
        <v>5.2</v>
      </c>
      <c r="AG38" s="55">
        <v>12</v>
      </c>
      <c r="AH38" s="52">
        <f t="shared" si="2"/>
        <v>5.2</v>
      </c>
      <c r="AI38" s="53">
        <f t="shared" si="3"/>
        <v>5.2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50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3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120</v>
      </c>
      <c r="C46" s="63">
        <v>120</v>
      </c>
      <c r="D46" s="63">
        <v>120</v>
      </c>
      <c r="E46" s="63">
        <v>120</v>
      </c>
      <c r="F46" s="63">
        <v>120</v>
      </c>
      <c r="G46" s="63">
        <v>120</v>
      </c>
      <c r="H46" s="63">
        <v>120</v>
      </c>
      <c r="I46" s="63">
        <v>120</v>
      </c>
      <c r="J46" s="63">
        <v>120</v>
      </c>
      <c r="K46" s="63">
        <v>120</v>
      </c>
      <c r="L46" s="63">
        <v>120</v>
      </c>
      <c r="M46" s="63">
        <v>120</v>
      </c>
      <c r="N46" s="63">
        <v>120</v>
      </c>
      <c r="O46" s="63">
        <v>120</v>
      </c>
      <c r="P46" s="63">
        <v>120</v>
      </c>
      <c r="Q46" s="63">
        <v>120</v>
      </c>
      <c r="R46" s="63">
        <v>120</v>
      </c>
      <c r="S46" s="63">
        <v>120</v>
      </c>
      <c r="T46" s="63">
        <v>120</v>
      </c>
      <c r="U46" s="63">
        <v>120</v>
      </c>
      <c r="V46" s="63">
        <v>120</v>
      </c>
      <c r="W46" s="63">
        <v>120</v>
      </c>
      <c r="X46" s="63">
        <v>120</v>
      </c>
      <c r="Y46" s="63">
        <v>120</v>
      </c>
      <c r="Z46" s="63">
        <v>120</v>
      </c>
      <c r="AA46" s="63">
        <v>120</v>
      </c>
      <c r="AB46" s="63">
        <v>120</v>
      </c>
      <c r="AC46" s="63">
        <v>120</v>
      </c>
      <c r="AD46" s="63">
        <v>120</v>
      </c>
      <c r="AE46" s="63">
        <v>120</v>
      </c>
      <c r="AF46" s="63">
        <v>120</v>
      </c>
      <c r="AG46" s="61">
        <v>85</v>
      </c>
      <c r="AH46" s="52">
        <f t="shared" si="2"/>
        <v>120</v>
      </c>
      <c r="AI46" s="53">
        <f t="shared" si="3"/>
        <v>120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 t="shared" ref="B48:AG48" si="4">SUM(B12:B46)</f>
        <v>361.29999999999995</v>
      </c>
      <c r="C48" s="67">
        <f t="shared" si="4"/>
        <v>361.29999999999995</v>
      </c>
      <c r="D48" s="67">
        <f t="shared" si="4"/>
        <v>361.29999999999995</v>
      </c>
      <c r="E48" s="67">
        <f t="shared" si="4"/>
        <v>365</v>
      </c>
      <c r="F48" s="67">
        <f t="shared" si="4"/>
        <v>365</v>
      </c>
      <c r="G48" s="67">
        <f t="shared" si="4"/>
        <v>365</v>
      </c>
      <c r="H48" s="67">
        <f t="shared" si="4"/>
        <v>365</v>
      </c>
      <c r="I48" s="67">
        <f t="shared" si="4"/>
        <v>365</v>
      </c>
      <c r="J48" s="67">
        <f t="shared" si="4"/>
        <v>365</v>
      </c>
      <c r="K48" s="67">
        <f t="shared" si="4"/>
        <v>365</v>
      </c>
      <c r="L48" s="67">
        <f t="shared" si="4"/>
        <v>365</v>
      </c>
      <c r="M48" s="67">
        <f t="shared" si="4"/>
        <v>365</v>
      </c>
      <c r="N48" s="67">
        <f t="shared" si="4"/>
        <v>365</v>
      </c>
      <c r="O48" s="67">
        <f t="shared" si="4"/>
        <v>365</v>
      </c>
      <c r="P48" s="67">
        <f t="shared" si="4"/>
        <v>365</v>
      </c>
      <c r="Q48" s="67">
        <f t="shared" si="4"/>
        <v>365</v>
      </c>
      <c r="R48" s="67">
        <f t="shared" si="4"/>
        <v>362.69999999999993</v>
      </c>
      <c r="S48" s="67">
        <f t="shared" si="4"/>
        <v>362.69999999999993</v>
      </c>
      <c r="T48" s="67">
        <f t="shared" si="4"/>
        <v>362.69999999999993</v>
      </c>
      <c r="U48" s="67">
        <f t="shared" si="4"/>
        <v>362.69999999999993</v>
      </c>
      <c r="V48" s="67">
        <f t="shared" si="4"/>
        <v>362.69999999999993</v>
      </c>
      <c r="W48" s="67">
        <f t="shared" si="4"/>
        <v>362.69999999999993</v>
      </c>
      <c r="X48" s="67">
        <f t="shared" si="4"/>
        <v>362.69999999999993</v>
      </c>
      <c r="Y48" s="67">
        <f t="shared" si="4"/>
        <v>362.69999999999993</v>
      </c>
      <c r="Z48" s="67">
        <f t="shared" si="4"/>
        <v>362.69999999999993</v>
      </c>
      <c r="AA48" s="67">
        <f t="shared" si="4"/>
        <v>362.69999999999993</v>
      </c>
      <c r="AB48" s="67">
        <f t="shared" si="4"/>
        <v>362.69999999999993</v>
      </c>
      <c r="AC48" s="67">
        <f t="shared" si="4"/>
        <v>362.69999999999993</v>
      </c>
      <c r="AD48" s="67">
        <f t="shared" si="4"/>
        <v>362.69999999999993</v>
      </c>
      <c r="AE48" s="67">
        <f t="shared" si="4"/>
        <v>362.69999999999993</v>
      </c>
      <c r="AF48" s="67">
        <f t="shared" si="4"/>
        <v>362.69999999999993</v>
      </c>
      <c r="AG48" s="68">
        <f t="shared" si="4"/>
        <v>875.68</v>
      </c>
      <c r="AH48" s="52">
        <f t="shared" si="2"/>
        <v>365</v>
      </c>
      <c r="AI48" s="53">
        <f t="shared" si="3"/>
        <v>361.29999999999995</v>
      </c>
      <c r="AK48" s="54"/>
    </row>
    <row r="49" spans="1:41" x14ac:dyDescent="0.25">
      <c r="A49" s="69" t="s">
        <v>57</v>
      </c>
      <c r="B49" s="50">
        <v>228</v>
      </c>
      <c r="C49" s="50">
        <v>215</v>
      </c>
      <c r="D49" s="50">
        <v>190</v>
      </c>
      <c r="E49" s="50">
        <v>90</v>
      </c>
      <c r="F49" s="50">
        <v>90</v>
      </c>
      <c r="G49" s="50">
        <v>105</v>
      </c>
      <c r="H49" s="50">
        <v>15</v>
      </c>
      <c r="I49" s="50">
        <v>0</v>
      </c>
      <c r="J49" s="50">
        <v>0</v>
      </c>
      <c r="K49" s="50">
        <v>0</v>
      </c>
      <c r="L49" s="50">
        <v>60</v>
      </c>
      <c r="M49" s="50">
        <v>30</v>
      </c>
      <c r="N49" s="50">
        <v>30</v>
      </c>
      <c r="O49" s="50">
        <v>30</v>
      </c>
      <c r="P49" s="50">
        <v>30</v>
      </c>
      <c r="Q49" s="50">
        <v>30</v>
      </c>
      <c r="R49" s="50">
        <v>15</v>
      </c>
      <c r="S49" s="50">
        <v>15</v>
      </c>
      <c r="T49" s="50">
        <v>50</v>
      </c>
      <c r="U49" s="50">
        <v>20</v>
      </c>
      <c r="V49" s="50">
        <v>74</v>
      </c>
      <c r="W49" s="50">
        <v>50</v>
      </c>
      <c r="X49" s="50">
        <v>50</v>
      </c>
      <c r="Y49" s="50">
        <v>120</v>
      </c>
      <c r="Z49" s="50">
        <v>228</v>
      </c>
      <c r="AA49" s="50">
        <v>280</v>
      </c>
      <c r="AB49" s="50">
        <v>230</v>
      </c>
      <c r="AC49" s="50">
        <v>230</v>
      </c>
      <c r="AD49" s="50">
        <v>230</v>
      </c>
      <c r="AE49" s="50">
        <v>60.3</v>
      </c>
      <c r="AF49" s="50">
        <v>30.7</v>
      </c>
      <c r="AG49" s="56">
        <v>456</v>
      </c>
      <c r="AH49" s="52">
        <f t="shared" si="2"/>
        <v>280</v>
      </c>
      <c r="AI49" s="53">
        <f t="shared" si="3"/>
        <v>0</v>
      </c>
      <c r="AK49" s="54"/>
    </row>
    <row r="50" spans="1:41" x14ac:dyDescent="0.25">
      <c r="A50" s="71" t="s">
        <v>58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25</v>
      </c>
      <c r="O50" s="72">
        <v>25</v>
      </c>
      <c r="P50" s="72">
        <v>25</v>
      </c>
      <c r="Q50" s="72">
        <v>25</v>
      </c>
      <c r="R50" s="72">
        <v>25</v>
      </c>
      <c r="S50" s="72">
        <v>25</v>
      </c>
      <c r="T50" s="72">
        <v>25</v>
      </c>
      <c r="U50" s="72">
        <v>25</v>
      </c>
      <c r="V50" s="72">
        <v>25</v>
      </c>
      <c r="W50" s="72">
        <v>25</v>
      </c>
      <c r="X50" s="72">
        <v>25</v>
      </c>
      <c r="Y50" s="72">
        <v>25</v>
      </c>
      <c r="Z50" s="72">
        <v>25</v>
      </c>
      <c r="AA50" s="72">
        <v>25</v>
      </c>
      <c r="AB50" s="72">
        <v>25</v>
      </c>
      <c r="AC50" s="72">
        <v>25</v>
      </c>
      <c r="AD50" s="72">
        <v>25</v>
      </c>
      <c r="AE50" s="72">
        <v>25</v>
      </c>
      <c r="AF50" s="72">
        <v>25</v>
      </c>
      <c r="AG50" s="61">
        <v>60</v>
      </c>
      <c r="AH50" s="52">
        <f t="shared" si="2"/>
        <v>25</v>
      </c>
      <c r="AI50" s="53">
        <f t="shared" si="3"/>
        <v>25</v>
      </c>
      <c r="AK50" s="54"/>
    </row>
    <row r="51" spans="1:41" ht="15.75" thickBot="1" x14ac:dyDescent="0.3">
      <c r="A51" s="73" t="s">
        <v>59</v>
      </c>
      <c r="B51" s="74">
        <v>13.2</v>
      </c>
      <c r="C51" s="74">
        <v>13.2</v>
      </c>
      <c r="D51" s="74">
        <v>13.2</v>
      </c>
      <c r="E51" s="74">
        <v>12.7</v>
      </c>
      <c r="F51" s="74">
        <v>12.7</v>
      </c>
      <c r="G51" s="74">
        <v>12.7</v>
      </c>
      <c r="H51" s="74">
        <v>12.6</v>
      </c>
      <c r="I51" s="74">
        <v>12.6</v>
      </c>
      <c r="J51" s="74">
        <v>12.7</v>
      </c>
      <c r="K51" s="74">
        <v>12.6</v>
      </c>
      <c r="L51" s="74">
        <v>11.1</v>
      </c>
      <c r="M51" s="74">
        <v>11.1</v>
      </c>
      <c r="N51" s="74">
        <v>11.1</v>
      </c>
      <c r="O51" s="74">
        <v>11.1</v>
      </c>
      <c r="P51" s="74">
        <v>11.1</v>
      </c>
      <c r="Q51" s="74">
        <v>11.1</v>
      </c>
      <c r="R51" s="74">
        <v>11.1</v>
      </c>
      <c r="S51" s="74">
        <v>11.1</v>
      </c>
      <c r="T51" s="74">
        <v>11.1</v>
      </c>
      <c r="U51" s="74">
        <v>11.1</v>
      </c>
      <c r="V51" s="74">
        <v>11.1</v>
      </c>
      <c r="W51" s="74">
        <v>0</v>
      </c>
      <c r="X51" s="74">
        <v>7.6</v>
      </c>
      <c r="Y51" s="74">
        <v>16.100000000000001</v>
      </c>
      <c r="Z51" s="74">
        <v>16.100000000000001</v>
      </c>
      <c r="AA51" s="74">
        <v>16.100000000000001</v>
      </c>
      <c r="AB51" s="74">
        <v>16.100000000000001</v>
      </c>
      <c r="AC51" s="74">
        <v>16.100000000000001</v>
      </c>
      <c r="AD51" s="74">
        <v>16.100000000000001</v>
      </c>
      <c r="AE51" s="74">
        <v>16.100000000000001</v>
      </c>
      <c r="AF51" s="74">
        <v>16.100000000000001</v>
      </c>
      <c r="AG51" s="75">
        <v>22.1</v>
      </c>
      <c r="AH51" s="52">
        <f t="shared" si="2"/>
        <v>16.100000000000001</v>
      </c>
      <c r="AI51" s="53">
        <f t="shared" si="3"/>
        <v>0</v>
      </c>
      <c r="AK51" s="54"/>
    </row>
    <row r="52" spans="1:41" ht="15.75" thickBot="1" x14ac:dyDescent="0.3">
      <c r="A52" s="76" t="s">
        <v>60</v>
      </c>
      <c r="B52" s="67">
        <f t="shared" ref="B52:AG52" si="5">SUM(B49:B51)</f>
        <v>266.2</v>
      </c>
      <c r="C52" s="67">
        <f t="shared" si="5"/>
        <v>253.2</v>
      </c>
      <c r="D52" s="67">
        <f t="shared" si="5"/>
        <v>228.2</v>
      </c>
      <c r="E52" s="67">
        <f t="shared" si="5"/>
        <v>127.7</v>
      </c>
      <c r="F52" s="67">
        <f t="shared" si="5"/>
        <v>127.7</v>
      </c>
      <c r="G52" s="67">
        <f t="shared" si="5"/>
        <v>142.69999999999999</v>
      </c>
      <c r="H52" s="67">
        <f t="shared" si="5"/>
        <v>52.6</v>
      </c>
      <c r="I52" s="67">
        <f t="shared" si="5"/>
        <v>37.6</v>
      </c>
      <c r="J52" s="67">
        <f t="shared" si="5"/>
        <v>37.700000000000003</v>
      </c>
      <c r="K52" s="67">
        <f t="shared" si="5"/>
        <v>37.6</v>
      </c>
      <c r="L52" s="67">
        <f t="shared" si="5"/>
        <v>96.1</v>
      </c>
      <c r="M52" s="67">
        <f t="shared" si="5"/>
        <v>66.099999999999994</v>
      </c>
      <c r="N52" s="67">
        <f t="shared" si="5"/>
        <v>66.099999999999994</v>
      </c>
      <c r="O52" s="67">
        <f t="shared" si="5"/>
        <v>66.099999999999994</v>
      </c>
      <c r="P52" s="67">
        <f t="shared" si="5"/>
        <v>66.099999999999994</v>
      </c>
      <c r="Q52" s="67">
        <f t="shared" si="5"/>
        <v>66.099999999999994</v>
      </c>
      <c r="R52" s="67">
        <f t="shared" si="5"/>
        <v>51.1</v>
      </c>
      <c r="S52" s="67">
        <f t="shared" si="5"/>
        <v>51.1</v>
      </c>
      <c r="T52" s="67">
        <f t="shared" si="5"/>
        <v>86.1</v>
      </c>
      <c r="U52" s="67">
        <f t="shared" si="5"/>
        <v>56.1</v>
      </c>
      <c r="V52" s="67">
        <f t="shared" si="5"/>
        <v>110.1</v>
      </c>
      <c r="W52" s="67">
        <f t="shared" si="5"/>
        <v>75</v>
      </c>
      <c r="X52" s="67">
        <f t="shared" si="5"/>
        <v>82.6</v>
      </c>
      <c r="Y52" s="67">
        <f t="shared" si="5"/>
        <v>161.1</v>
      </c>
      <c r="Z52" s="67">
        <f t="shared" si="5"/>
        <v>269.10000000000002</v>
      </c>
      <c r="AA52" s="67">
        <f t="shared" si="5"/>
        <v>321.10000000000002</v>
      </c>
      <c r="AB52" s="67">
        <f t="shared" si="5"/>
        <v>271.10000000000002</v>
      </c>
      <c r="AC52" s="67">
        <f t="shared" si="5"/>
        <v>271.10000000000002</v>
      </c>
      <c r="AD52" s="67">
        <f t="shared" si="5"/>
        <v>271.10000000000002</v>
      </c>
      <c r="AE52" s="67">
        <f t="shared" si="5"/>
        <v>101.4</v>
      </c>
      <c r="AF52" s="67">
        <f t="shared" si="5"/>
        <v>71.800000000000011</v>
      </c>
      <c r="AG52" s="68">
        <f t="shared" si="5"/>
        <v>538.1</v>
      </c>
      <c r="AH52" s="52">
        <f t="shared" si="2"/>
        <v>321.10000000000002</v>
      </c>
      <c r="AI52" s="53">
        <f t="shared" si="3"/>
        <v>37.6</v>
      </c>
      <c r="AK52" s="54"/>
    </row>
    <row r="53" spans="1:41" x14ac:dyDescent="0.25">
      <c r="A53" s="49" t="s">
        <v>61</v>
      </c>
      <c r="B53" s="50">
        <v>61.2</v>
      </c>
      <c r="C53" s="50">
        <v>61.2</v>
      </c>
      <c r="D53" s="50">
        <v>61.2</v>
      </c>
      <c r="E53" s="50">
        <v>36</v>
      </c>
      <c r="F53" s="50">
        <v>31</v>
      </c>
      <c r="G53" s="50">
        <v>35.700000000000003</v>
      </c>
      <c r="H53" s="50">
        <v>48</v>
      </c>
      <c r="I53" s="50">
        <v>30</v>
      </c>
      <c r="J53" s="50">
        <v>30.8</v>
      </c>
      <c r="K53" s="50">
        <v>49</v>
      </c>
      <c r="L53" s="50">
        <v>48.8</v>
      </c>
      <c r="M53" s="50">
        <v>49</v>
      </c>
      <c r="N53" s="50">
        <v>30</v>
      </c>
      <c r="O53" s="50">
        <v>30</v>
      </c>
      <c r="P53" s="50">
        <v>30</v>
      </c>
      <c r="Q53" s="50">
        <v>97.5</v>
      </c>
      <c r="R53" s="50">
        <v>97.4</v>
      </c>
      <c r="S53" s="50">
        <v>97.4</v>
      </c>
      <c r="T53" s="50">
        <v>97.4</v>
      </c>
      <c r="U53" s="50">
        <v>94</v>
      </c>
      <c r="V53" s="50">
        <v>94</v>
      </c>
      <c r="W53" s="50">
        <v>97</v>
      </c>
      <c r="X53" s="50">
        <v>97</v>
      </c>
      <c r="Y53" s="50">
        <v>97</v>
      </c>
      <c r="Z53" s="50">
        <v>97</v>
      </c>
      <c r="AA53" s="50">
        <v>97</v>
      </c>
      <c r="AB53" s="50">
        <v>97</v>
      </c>
      <c r="AC53" s="50">
        <v>97</v>
      </c>
      <c r="AD53" s="50">
        <v>97</v>
      </c>
      <c r="AE53" s="50">
        <v>30.5</v>
      </c>
      <c r="AF53" s="50">
        <v>30.5</v>
      </c>
      <c r="AG53" s="56">
        <v>144</v>
      </c>
      <c r="AH53" s="52">
        <f t="shared" si="2"/>
        <v>97.5</v>
      </c>
      <c r="AI53" s="53">
        <f t="shared" si="3"/>
        <v>30</v>
      </c>
      <c r="AK53" s="54"/>
    </row>
    <row r="54" spans="1:41" x14ac:dyDescent="0.25">
      <c r="A54" s="60" t="s">
        <v>62</v>
      </c>
      <c r="B54" s="72">
        <v>29.8</v>
      </c>
      <c r="C54" s="72">
        <v>21.8</v>
      </c>
      <c r="D54" s="72">
        <v>21.8</v>
      </c>
      <c r="E54" s="72">
        <v>21.3</v>
      </c>
      <c r="F54" s="72">
        <v>21.5</v>
      </c>
      <c r="G54" s="72">
        <v>21.4</v>
      </c>
      <c r="H54" s="72">
        <v>21.3</v>
      </c>
      <c r="I54" s="72">
        <v>22.5</v>
      </c>
      <c r="J54" s="72">
        <v>0</v>
      </c>
      <c r="K54" s="72">
        <v>0</v>
      </c>
      <c r="L54" s="72">
        <v>0</v>
      </c>
      <c r="M54" s="72">
        <v>0</v>
      </c>
      <c r="N54" s="72">
        <v>23</v>
      </c>
      <c r="O54" s="72">
        <v>23</v>
      </c>
      <c r="P54" s="72">
        <v>23</v>
      </c>
      <c r="Q54" s="72">
        <v>68.2</v>
      </c>
      <c r="R54" s="50">
        <v>66.3</v>
      </c>
      <c r="S54" s="50">
        <v>66.3</v>
      </c>
      <c r="T54" s="50">
        <v>53.3</v>
      </c>
      <c r="U54" s="50">
        <v>29</v>
      </c>
      <c r="V54" s="50">
        <v>29</v>
      </c>
      <c r="W54" s="50">
        <v>0</v>
      </c>
      <c r="X54" s="50">
        <v>0</v>
      </c>
      <c r="Y54" s="50">
        <v>5</v>
      </c>
      <c r="Z54" s="50">
        <v>34.299999999999997</v>
      </c>
      <c r="AA54" s="50">
        <v>45.1</v>
      </c>
      <c r="AB54" s="50">
        <v>34.6</v>
      </c>
      <c r="AC54" s="50">
        <v>34.6</v>
      </c>
      <c r="AD54" s="50">
        <v>23</v>
      </c>
      <c r="AE54" s="72">
        <v>0</v>
      </c>
      <c r="AF54" s="72">
        <v>0</v>
      </c>
      <c r="AG54" s="61">
        <v>70</v>
      </c>
      <c r="AH54" s="52">
        <f t="shared" si="2"/>
        <v>68.2</v>
      </c>
      <c r="AI54" s="53">
        <f t="shared" si="3"/>
        <v>0</v>
      </c>
      <c r="AK54" s="54"/>
    </row>
    <row r="55" spans="1:41" x14ac:dyDescent="0.25">
      <c r="A55" s="60" t="s">
        <v>63</v>
      </c>
      <c r="B55" s="72">
        <v>46.1</v>
      </c>
      <c r="C55" s="72">
        <v>14.1</v>
      </c>
      <c r="D55" s="72">
        <v>19.399999999999999</v>
      </c>
      <c r="E55" s="72">
        <v>16.100000000000001</v>
      </c>
      <c r="F55" s="72">
        <v>16</v>
      </c>
      <c r="G55" s="72">
        <v>15.6</v>
      </c>
      <c r="H55" s="72">
        <v>41.1</v>
      </c>
      <c r="I55" s="72">
        <v>32.4</v>
      </c>
      <c r="J55" s="72">
        <v>32.6</v>
      </c>
      <c r="K55" s="72">
        <v>46</v>
      </c>
      <c r="L55" s="72">
        <v>40.700000000000003</v>
      </c>
      <c r="M55" s="72">
        <v>46</v>
      </c>
      <c r="N55" s="72">
        <v>0</v>
      </c>
      <c r="O55" s="72">
        <v>0</v>
      </c>
      <c r="P55" s="72">
        <v>0</v>
      </c>
      <c r="Q55" s="72">
        <v>46.8</v>
      </c>
      <c r="R55" s="50">
        <v>46.2</v>
      </c>
      <c r="S55" s="50">
        <v>46.2</v>
      </c>
      <c r="T55" s="50">
        <v>44.7</v>
      </c>
      <c r="U55" s="50">
        <v>44.7</v>
      </c>
      <c r="V55" s="50">
        <v>44.7</v>
      </c>
      <c r="W55" s="50">
        <v>39.5</v>
      </c>
      <c r="X55" s="50">
        <v>33</v>
      </c>
      <c r="Y55" s="50">
        <v>51</v>
      </c>
      <c r="Z55" s="50">
        <v>70</v>
      </c>
      <c r="AA55" s="50">
        <v>70</v>
      </c>
      <c r="AB55" s="50">
        <v>70</v>
      </c>
      <c r="AC55" s="50">
        <v>70</v>
      </c>
      <c r="AD55" s="50">
        <v>37</v>
      </c>
      <c r="AE55" s="72">
        <v>15.7</v>
      </c>
      <c r="AF55" s="72">
        <v>15.7</v>
      </c>
      <c r="AG55" s="61">
        <v>69</v>
      </c>
      <c r="AH55" s="52">
        <f t="shared" si="2"/>
        <v>70</v>
      </c>
      <c r="AI55" s="53">
        <f t="shared" si="3"/>
        <v>0</v>
      </c>
      <c r="AK55" s="54"/>
    </row>
    <row r="56" spans="1:41" x14ac:dyDescent="0.25">
      <c r="A56" s="60" t="s">
        <v>64</v>
      </c>
      <c r="B56" s="72">
        <v>37</v>
      </c>
      <c r="C56" s="72">
        <v>37</v>
      </c>
      <c r="D56" s="72">
        <v>37</v>
      </c>
      <c r="E56" s="63">
        <v>42.1</v>
      </c>
      <c r="F56" s="63">
        <v>41.8</v>
      </c>
      <c r="G56" s="63">
        <v>41.8</v>
      </c>
      <c r="H56" s="63">
        <v>41.8</v>
      </c>
      <c r="I56" s="63">
        <v>40.1</v>
      </c>
      <c r="J56" s="63">
        <v>39.299999999999997</v>
      </c>
      <c r="K56" s="63">
        <v>39</v>
      </c>
      <c r="L56" s="63">
        <v>39.299999999999997</v>
      </c>
      <c r="M56" s="63">
        <v>39</v>
      </c>
      <c r="N56" s="63">
        <v>39</v>
      </c>
      <c r="O56" s="63">
        <v>39</v>
      </c>
      <c r="P56" s="63">
        <v>39</v>
      </c>
      <c r="Q56" s="63">
        <v>38</v>
      </c>
      <c r="R56" s="50">
        <v>38.299999999999997</v>
      </c>
      <c r="S56" s="50">
        <v>38.299999999999997</v>
      </c>
      <c r="T56" s="50">
        <v>37.299999999999997</v>
      </c>
      <c r="U56" s="50">
        <v>37.299999999999997</v>
      </c>
      <c r="V56" s="50">
        <v>37.299999999999997</v>
      </c>
      <c r="W56" s="50">
        <v>36</v>
      </c>
      <c r="X56" s="50">
        <v>36</v>
      </c>
      <c r="Y56" s="50">
        <v>36</v>
      </c>
      <c r="Z56" s="50">
        <v>36</v>
      </c>
      <c r="AA56" s="50">
        <v>36</v>
      </c>
      <c r="AB56" s="50">
        <v>36</v>
      </c>
      <c r="AC56" s="50">
        <v>36</v>
      </c>
      <c r="AD56" s="50">
        <v>36</v>
      </c>
      <c r="AE56" s="50">
        <v>36</v>
      </c>
      <c r="AF56" s="50">
        <v>36</v>
      </c>
      <c r="AG56" s="61">
        <v>60</v>
      </c>
      <c r="AH56" s="52">
        <f t="shared" si="2"/>
        <v>42.1</v>
      </c>
      <c r="AI56" s="53">
        <f t="shared" si="3"/>
        <v>36</v>
      </c>
      <c r="AK56" s="54"/>
    </row>
    <row r="57" spans="1:41" x14ac:dyDescent="0.25">
      <c r="A57" s="60" t="s">
        <v>65</v>
      </c>
      <c r="B57" s="72">
        <v>9.5</v>
      </c>
      <c r="C57" s="72">
        <v>9.5</v>
      </c>
      <c r="D57" s="72">
        <v>9.5</v>
      </c>
      <c r="E57" s="63">
        <v>9.5</v>
      </c>
      <c r="F57" s="63">
        <v>9.8000000000000007</v>
      </c>
      <c r="G57" s="63">
        <v>9.4</v>
      </c>
      <c r="H57" s="63">
        <v>9.4</v>
      </c>
      <c r="I57" s="63">
        <v>9.4</v>
      </c>
      <c r="J57" s="63">
        <v>0</v>
      </c>
      <c r="K57" s="63">
        <v>0</v>
      </c>
      <c r="L57" s="63">
        <v>0</v>
      </c>
      <c r="M57" s="63">
        <v>0</v>
      </c>
      <c r="N57" s="63">
        <v>0</v>
      </c>
      <c r="O57" s="63">
        <v>0</v>
      </c>
      <c r="P57" s="63">
        <v>0</v>
      </c>
      <c r="Q57" s="63">
        <v>0</v>
      </c>
      <c r="R57" s="50">
        <v>15</v>
      </c>
      <c r="S57" s="50">
        <v>15</v>
      </c>
      <c r="T57" s="50">
        <v>23</v>
      </c>
      <c r="U57" s="50">
        <v>30</v>
      </c>
      <c r="V57" s="50">
        <v>30</v>
      </c>
      <c r="W57" s="50">
        <v>20</v>
      </c>
      <c r="X57" s="50">
        <v>9</v>
      </c>
      <c r="Y57" s="50">
        <v>0</v>
      </c>
      <c r="Z57" s="50">
        <v>10</v>
      </c>
      <c r="AA57" s="50">
        <v>20.5</v>
      </c>
      <c r="AB57" s="50">
        <v>15</v>
      </c>
      <c r="AC57" s="50">
        <v>15</v>
      </c>
      <c r="AD57" s="50">
        <v>0</v>
      </c>
      <c r="AE57" s="50">
        <v>0</v>
      </c>
      <c r="AF57" s="50">
        <v>0</v>
      </c>
      <c r="AG57" s="61">
        <v>30</v>
      </c>
      <c r="AH57" s="52">
        <f t="shared" si="2"/>
        <v>30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50">
        <v>0.8</v>
      </c>
      <c r="K58" s="50">
        <v>1.8</v>
      </c>
      <c r="L58" s="50">
        <v>3</v>
      </c>
      <c r="M58" s="50">
        <v>3</v>
      </c>
      <c r="N58" s="50">
        <v>3</v>
      </c>
      <c r="O58" s="50">
        <v>3</v>
      </c>
      <c r="P58" s="50">
        <v>3</v>
      </c>
      <c r="Q58" s="50">
        <v>3</v>
      </c>
      <c r="R58" s="50">
        <v>14.6</v>
      </c>
      <c r="S58" s="50">
        <v>14.6</v>
      </c>
      <c r="T58" s="50">
        <v>14.6</v>
      </c>
      <c r="U58" s="50">
        <v>14.6</v>
      </c>
      <c r="V58" s="50">
        <v>14.6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14.6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17</v>
      </c>
      <c r="C59" s="72">
        <v>17</v>
      </c>
      <c r="D59" s="72">
        <v>17</v>
      </c>
      <c r="E59" s="72">
        <v>17</v>
      </c>
      <c r="F59" s="72">
        <v>17</v>
      </c>
      <c r="G59" s="72">
        <v>17</v>
      </c>
      <c r="H59" s="72">
        <v>17</v>
      </c>
      <c r="I59" s="72">
        <v>17</v>
      </c>
      <c r="J59" s="72">
        <v>17</v>
      </c>
      <c r="K59" s="72">
        <v>17</v>
      </c>
      <c r="L59" s="72">
        <v>17</v>
      </c>
      <c r="M59" s="72">
        <v>17</v>
      </c>
      <c r="N59" s="72">
        <v>17</v>
      </c>
      <c r="O59" s="72">
        <v>17</v>
      </c>
      <c r="P59" s="72">
        <v>17</v>
      </c>
      <c r="Q59" s="72">
        <v>17</v>
      </c>
      <c r="R59" s="72">
        <v>15</v>
      </c>
      <c r="S59" s="72">
        <v>15</v>
      </c>
      <c r="T59" s="72">
        <v>15</v>
      </c>
      <c r="U59" s="72">
        <v>15</v>
      </c>
      <c r="V59" s="72">
        <v>15</v>
      </c>
      <c r="W59" s="72">
        <v>15</v>
      </c>
      <c r="X59" s="72">
        <v>15</v>
      </c>
      <c r="Y59" s="72">
        <v>15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17</v>
      </c>
      <c r="AI59" s="53">
        <f t="shared" si="3"/>
        <v>15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10.7</v>
      </c>
      <c r="C61" s="72">
        <v>10.7</v>
      </c>
      <c r="D61" s="72">
        <v>10.7</v>
      </c>
      <c r="E61" s="72">
        <v>10.7</v>
      </c>
      <c r="F61" s="72">
        <v>10.7</v>
      </c>
      <c r="G61" s="72">
        <v>10.7</v>
      </c>
      <c r="H61" s="72">
        <v>10.7</v>
      </c>
      <c r="I61" s="72">
        <v>10.7</v>
      </c>
      <c r="J61" s="72">
        <v>10.7</v>
      </c>
      <c r="K61" s="72">
        <v>10.7</v>
      </c>
      <c r="L61" s="72">
        <v>10.7</v>
      </c>
      <c r="M61" s="72">
        <v>10.7</v>
      </c>
      <c r="N61" s="72">
        <v>10.7</v>
      </c>
      <c r="O61" s="72">
        <v>10.7</v>
      </c>
      <c r="P61" s="72">
        <v>10.7</v>
      </c>
      <c r="Q61" s="72">
        <v>10.7</v>
      </c>
      <c r="R61" s="72">
        <v>11.6</v>
      </c>
      <c r="S61" s="72">
        <v>11.6</v>
      </c>
      <c r="T61" s="72">
        <v>11.6</v>
      </c>
      <c r="U61" s="72">
        <v>11.6</v>
      </c>
      <c r="V61" s="72">
        <v>11.6</v>
      </c>
      <c r="W61" s="72">
        <v>11.6</v>
      </c>
      <c r="X61" s="72">
        <v>11.6</v>
      </c>
      <c r="Y61" s="72">
        <v>11.6</v>
      </c>
      <c r="Z61" s="72">
        <v>11.6</v>
      </c>
      <c r="AA61" s="72">
        <v>11.6</v>
      </c>
      <c r="AB61" s="72">
        <v>11.6</v>
      </c>
      <c r="AC61" s="72">
        <v>11.6</v>
      </c>
      <c r="AD61" s="72">
        <v>11.6</v>
      </c>
      <c r="AE61" s="72">
        <v>11.6</v>
      </c>
      <c r="AF61" s="72">
        <v>11.6</v>
      </c>
      <c r="AG61" s="61">
        <v>14.1</v>
      </c>
      <c r="AH61" s="52">
        <f t="shared" si="2"/>
        <v>11.6</v>
      </c>
      <c r="AI61" s="53">
        <f t="shared" si="3"/>
        <v>10.7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6.2</v>
      </c>
      <c r="C62" s="72">
        <v>6.2</v>
      </c>
      <c r="D62" s="72">
        <v>6.2</v>
      </c>
      <c r="E62" s="72">
        <v>6.2</v>
      </c>
      <c r="F62" s="72">
        <v>6.2</v>
      </c>
      <c r="G62" s="72">
        <v>6.2</v>
      </c>
      <c r="H62" s="72">
        <v>6.2</v>
      </c>
      <c r="I62" s="72">
        <v>6.2</v>
      </c>
      <c r="J62" s="72">
        <v>6.2</v>
      </c>
      <c r="K62" s="72">
        <v>6.2</v>
      </c>
      <c r="L62" s="72">
        <v>6.2</v>
      </c>
      <c r="M62" s="72">
        <v>6.2</v>
      </c>
      <c r="N62" s="72">
        <v>6.2</v>
      </c>
      <c r="O62" s="72">
        <v>6.2</v>
      </c>
      <c r="P62" s="72">
        <v>6.2</v>
      </c>
      <c r="Q62" s="72">
        <v>6.2</v>
      </c>
      <c r="R62" s="72">
        <v>5.0999999999999996</v>
      </c>
      <c r="S62" s="72">
        <v>5.0999999999999996</v>
      </c>
      <c r="T62" s="72">
        <v>5.0999999999999996</v>
      </c>
      <c r="U62" s="72">
        <v>5.0999999999999996</v>
      </c>
      <c r="V62" s="72">
        <v>5.0999999999999996</v>
      </c>
      <c r="W62" s="72">
        <v>5.0999999999999996</v>
      </c>
      <c r="X62" s="72">
        <v>5.0999999999999996</v>
      </c>
      <c r="Y62" s="72">
        <v>5.0999999999999996</v>
      </c>
      <c r="Z62" s="72">
        <v>5.0999999999999996</v>
      </c>
      <c r="AA62" s="72">
        <v>5.0999999999999996</v>
      </c>
      <c r="AB62" s="72">
        <v>5.0999999999999996</v>
      </c>
      <c r="AC62" s="72">
        <v>5.0999999999999996</v>
      </c>
      <c r="AD62" s="72">
        <v>5.0999999999999996</v>
      </c>
      <c r="AE62" s="72">
        <v>5.0999999999999996</v>
      </c>
      <c r="AF62" s="72">
        <v>5.0999999999999996</v>
      </c>
      <c r="AG62" s="61">
        <v>14</v>
      </c>
      <c r="AH62" s="52">
        <f t="shared" si="2"/>
        <v>6.2</v>
      </c>
      <c r="AI62" s="53">
        <f t="shared" si="3"/>
        <v>5.0999999999999996</v>
      </c>
      <c r="AK62" s="54"/>
    </row>
    <row r="63" spans="1:41" x14ac:dyDescent="0.25">
      <c r="A63" s="60" t="s">
        <v>71</v>
      </c>
      <c r="B63" s="72">
        <v>2.2000000000000002</v>
      </c>
      <c r="C63" s="72">
        <v>2.2000000000000002</v>
      </c>
      <c r="D63" s="72">
        <v>2.2000000000000002</v>
      </c>
      <c r="E63" s="72">
        <v>2.2000000000000002</v>
      </c>
      <c r="F63" s="72">
        <v>2.2000000000000002</v>
      </c>
      <c r="G63" s="72">
        <v>2.2000000000000002</v>
      </c>
      <c r="H63" s="72">
        <v>2.2000000000000002</v>
      </c>
      <c r="I63" s="72">
        <v>2.2000000000000002</v>
      </c>
      <c r="J63" s="72">
        <v>2.2000000000000002</v>
      </c>
      <c r="K63" s="72">
        <v>2.2000000000000002</v>
      </c>
      <c r="L63" s="72">
        <v>2.2000000000000002</v>
      </c>
      <c r="M63" s="72">
        <v>2.2000000000000002</v>
      </c>
      <c r="N63" s="72">
        <v>2.2000000000000002</v>
      </c>
      <c r="O63" s="72">
        <v>2.2000000000000002</v>
      </c>
      <c r="P63" s="72">
        <v>2.2000000000000002</v>
      </c>
      <c r="Q63" s="72">
        <v>2.2000000000000002</v>
      </c>
      <c r="R63" s="72">
        <v>3.5</v>
      </c>
      <c r="S63" s="72">
        <v>3.5</v>
      </c>
      <c r="T63" s="72">
        <v>3.5</v>
      </c>
      <c r="U63" s="72">
        <v>3.5</v>
      </c>
      <c r="V63" s="72">
        <v>3.5</v>
      </c>
      <c r="W63" s="72">
        <v>3.5</v>
      </c>
      <c r="X63" s="72">
        <v>3.5</v>
      </c>
      <c r="Y63" s="72">
        <v>3.5</v>
      </c>
      <c r="Z63" s="72">
        <v>3.5</v>
      </c>
      <c r="AA63" s="72">
        <v>3.5</v>
      </c>
      <c r="AB63" s="72">
        <v>3.5</v>
      </c>
      <c r="AC63" s="72">
        <v>3.5</v>
      </c>
      <c r="AD63" s="72">
        <v>3.5</v>
      </c>
      <c r="AE63" s="72">
        <v>3.5</v>
      </c>
      <c r="AF63" s="72">
        <v>3.5</v>
      </c>
      <c r="AG63" s="61">
        <v>10.050000000000001</v>
      </c>
      <c r="AH63" s="52">
        <f t="shared" si="2"/>
        <v>3.5</v>
      </c>
      <c r="AI63" s="53">
        <f t="shared" si="3"/>
        <v>2.2000000000000002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:AG66" si="6">SUM(B53:B65)</f>
        <v>225.23999999999995</v>
      </c>
      <c r="C66" s="67">
        <f t="shared" si="6"/>
        <v>185.23999999999995</v>
      </c>
      <c r="D66" s="67">
        <f t="shared" si="6"/>
        <v>190.53999999999996</v>
      </c>
      <c r="E66" s="67">
        <f t="shared" si="6"/>
        <v>166.63999999999996</v>
      </c>
      <c r="F66" s="67">
        <f t="shared" si="6"/>
        <v>161.73999999999995</v>
      </c>
      <c r="G66" s="67">
        <f t="shared" si="6"/>
        <v>165.53999999999996</v>
      </c>
      <c r="H66" s="67">
        <f t="shared" si="6"/>
        <v>203.23999999999995</v>
      </c>
      <c r="I66" s="67">
        <f t="shared" si="6"/>
        <v>176.03999999999996</v>
      </c>
      <c r="J66" s="67">
        <f t="shared" si="6"/>
        <v>145.13999999999996</v>
      </c>
      <c r="K66" s="67">
        <f t="shared" si="6"/>
        <v>177.43999999999997</v>
      </c>
      <c r="L66" s="67">
        <f t="shared" si="6"/>
        <v>173.43999999999997</v>
      </c>
      <c r="M66" s="67">
        <f t="shared" si="6"/>
        <v>178.63999999999996</v>
      </c>
      <c r="N66" s="67">
        <f t="shared" si="6"/>
        <v>136.63999999999999</v>
      </c>
      <c r="O66" s="67">
        <f t="shared" si="6"/>
        <v>136.63999999999999</v>
      </c>
      <c r="P66" s="67">
        <f t="shared" si="6"/>
        <v>136.63999999999999</v>
      </c>
      <c r="Q66" s="67">
        <f t="shared" si="6"/>
        <v>295.14</v>
      </c>
      <c r="R66" s="67">
        <f t="shared" si="6"/>
        <v>318.54000000000008</v>
      </c>
      <c r="S66" s="67">
        <f t="shared" si="6"/>
        <v>318.54000000000008</v>
      </c>
      <c r="T66" s="67">
        <f t="shared" si="6"/>
        <v>311.04000000000008</v>
      </c>
      <c r="U66" s="67">
        <f t="shared" si="6"/>
        <v>290.34000000000009</v>
      </c>
      <c r="V66" s="67">
        <f t="shared" si="6"/>
        <v>290.34000000000009</v>
      </c>
      <c r="W66" s="67">
        <f t="shared" si="6"/>
        <v>233.23999999999998</v>
      </c>
      <c r="X66" s="67">
        <f t="shared" si="6"/>
        <v>215.73999999999998</v>
      </c>
      <c r="Y66" s="67">
        <f t="shared" si="6"/>
        <v>229.73999999999998</v>
      </c>
      <c r="Z66" s="67">
        <f t="shared" si="6"/>
        <v>288.04000000000008</v>
      </c>
      <c r="AA66" s="67">
        <f t="shared" si="6"/>
        <v>309.34000000000009</v>
      </c>
      <c r="AB66" s="67">
        <f t="shared" si="6"/>
        <v>293.34000000000009</v>
      </c>
      <c r="AC66" s="67">
        <f t="shared" si="6"/>
        <v>293.34000000000009</v>
      </c>
      <c r="AD66" s="67">
        <f t="shared" si="6"/>
        <v>233.73999999999998</v>
      </c>
      <c r="AE66" s="67">
        <f t="shared" si="6"/>
        <v>122.94</v>
      </c>
      <c r="AF66" s="67">
        <f t="shared" si="6"/>
        <v>122.94</v>
      </c>
      <c r="AG66" s="68">
        <f t="shared" si="6"/>
        <v>489.91</v>
      </c>
      <c r="AH66" s="52">
        <f t="shared" si="2"/>
        <v>318.54000000000008</v>
      </c>
      <c r="AI66" s="53">
        <f t="shared" si="3"/>
        <v>122.94</v>
      </c>
      <c r="AK66" s="54"/>
    </row>
    <row r="67" spans="1:40" x14ac:dyDescent="0.25">
      <c r="A67" s="49" t="s">
        <v>75</v>
      </c>
      <c r="B67" s="50">
        <v>60</v>
      </c>
      <c r="C67" s="50">
        <v>60</v>
      </c>
      <c r="D67" s="50">
        <v>60</v>
      </c>
      <c r="E67" s="50">
        <v>60</v>
      </c>
      <c r="F67" s="50">
        <v>60</v>
      </c>
      <c r="G67" s="50">
        <v>60</v>
      </c>
      <c r="H67" s="50">
        <v>60</v>
      </c>
      <c r="I67" s="50">
        <v>50</v>
      </c>
      <c r="J67" s="50">
        <v>36</v>
      </c>
      <c r="K67" s="50">
        <v>60</v>
      </c>
      <c r="L67" s="50">
        <v>60</v>
      </c>
      <c r="M67" s="50">
        <v>40</v>
      </c>
      <c r="N67" s="50">
        <v>60</v>
      </c>
      <c r="O67" s="50">
        <v>60</v>
      </c>
      <c r="P67" s="50">
        <v>60</v>
      </c>
      <c r="Q67" s="50">
        <v>60</v>
      </c>
      <c r="R67" s="50">
        <v>60</v>
      </c>
      <c r="S67" s="50">
        <v>60</v>
      </c>
      <c r="T67" s="50">
        <v>60</v>
      </c>
      <c r="U67" s="50">
        <v>60</v>
      </c>
      <c r="V67" s="50">
        <v>60</v>
      </c>
      <c r="W67" s="50">
        <v>60</v>
      </c>
      <c r="X67" s="50">
        <v>60</v>
      </c>
      <c r="Y67" s="50">
        <v>60</v>
      </c>
      <c r="Z67" s="50">
        <v>60</v>
      </c>
      <c r="AA67" s="50">
        <v>60</v>
      </c>
      <c r="AB67" s="50">
        <v>60</v>
      </c>
      <c r="AC67" s="50">
        <v>60</v>
      </c>
      <c r="AD67" s="50">
        <v>60</v>
      </c>
      <c r="AE67" s="50">
        <v>60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36</v>
      </c>
      <c r="AK67" s="54"/>
    </row>
    <row r="68" spans="1:40" x14ac:dyDescent="0.25">
      <c r="A68" s="60" t="s">
        <v>76</v>
      </c>
      <c r="B68" s="72">
        <v>28.8</v>
      </c>
      <c r="C68" s="72">
        <v>28.8</v>
      </c>
      <c r="D68" s="72">
        <v>28.8</v>
      </c>
      <c r="E68" s="72">
        <v>28.8</v>
      </c>
      <c r="F68" s="72">
        <v>28.8</v>
      </c>
      <c r="G68" s="72">
        <v>28.8</v>
      </c>
      <c r="H68" s="72">
        <v>29</v>
      </c>
      <c r="I68" s="72">
        <v>28.4</v>
      </c>
      <c r="J68" s="72">
        <v>17.3</v>
      </c>
      <c r="K68" s="72">
        <v>28.9</v>
      </c>
      <c r="L68" s="72">
        <v>29</v>
      </c>
      <c r="M68" s="72">
        <v>16</v>
      </c>
      <c r="N68" s="72">
        <v>16</v>
      </c>
      <c r="O68" s="72">
        <v>16</v>
      </c>
      <c r="P68" s="72">
        <v>16</v>
      </c>
      <c r="Q68" s="72">
        <v>16</v>
      </c>
      <c r="R68" s="50">
        <v>28.3</v>
      </c>
      <c r="S68" s="72">
        <v>27.7</v>
      </c>
      <c r="T68" s="72">
        <v>27.7</v>
      </c>
      <c r="U68" s="72">
        <v>27.7</v>
      </c>
      <c r="V68" s="72">
        <v>28.3</v>
      </c>
      <c r="W68" s="72">
        <v>28.3</v>
      </c>
      <c r="X68" s="72">
        <v>28.3</v>
      </c>
      <c r="Y68" s="72">
        <v>28.3</v>
      </c>
      <c r="Z68" s="72">
        <v>28.3</v>
      </c>
      <c r="AA68" s="72">
        <v>28.3</v>
      </c>
      <c r="AB68" s="72">
        <v>28.3</v>
      </c>
      <c r="AC68" s="72">
        <v>28.3</v>
      </c>
      <c r="AD68" s="72">
        <v>28.3</v>
      </c>
      <c r="AE68" s="72">
        <v>28.3</v>
      </c>
      <c r="AF68" s="72">
        <v>28.3</v>
      </c>
      <c r="AG68" s="61">
        <v>32</v>
      </c>
      <c r="AH68" s="52">
        <f t="shared" si="2"/>
        <v>29</v>
      </c>
      <c r="AI68" s="53">
        <f t="shared" si="3"/>
        <v>16</v>
      </c>
      <c r="AK68" s="54"/>
    </row>
    <row r="69" spans="1:40" ht="15.75" thickBot="1" x14ac:dyDescent="0.3">
      <c r="A69" s="78" t="s">
        <v>77</v>
      </c>
      <c r="B69" s="74">
        <v>10.5</v>
      </c>
      <c r="C69" s="74">
        <v>10.5</v>
      </c>
      <c r="D69" s="74">
        <v>10.5</v>
      </c>
      <c r="E69" s="74">
        <v>10.5</v>
      </c>
      <c r="F69" s="74">
        <v>10.5</v>
      </c>
      <c r="G69" s="74">
        <v>10.5</v>
      </c>
      <c r="H69" s="74">
        <v>10.5</v>
      </c>
      <c r="I69" s="74">
        <v>10.4</v>
      </c>
      <c r="J69" s="74">
        <v>6.3</v>
      </c>
      <c r="K69" s="74">
        <v>10.5</v>
      </c>
      <c r="L69" s="74">
        <v>10.6</v>
      </c>
      <c r="M69" s="74">
        <v>6</v>
      </c>
      <c r="N69" s="74">
        <v>6</v>
      </c>
      <c r="O69" s="74">
        <v>6</v>
      </c>
      <c r="P69" s="74">
        <v>6</v>
      </c>
      <c r="Q69" s="74">
        <v>6</v>
      </c>
      <c r="R69" s="50">
        <v>10.3</v>
      </c>
      <c r="S69" s="74">
        <v>10.1</v>
      </c>
      <c r="T69" s="74">
        <v>10.1</v>
      </c>
      <c r="U69" s="74">
        <v>10.1</v>
      </c>
      <c r="V69" s="74">
        <v>10.3</v>
      </c>
      <c r="W69" s="74">
        <v>10.3</v>
      </c>
      <c r="X69" s="74">
        <v>10.3</v>
      </c>
      <c r="Y69" s="74">
        <v>10.3</v>
      </c>
      <c r="Z69" s="74">
        <v>10.3</v>
      </c>
      <c r="AA69" s="74">
        <v>10.3</v>
      </c>
      <c r="AB69" s="74">
        <v>10.3</v>
      </c>
      <c r="AC69" s="74">
        <v>10.3</v>
      </c>
      <c r="AD69" s="74">
        <v>10.3</v>
      </c>
      <c r="AE69" s="74">
        <v>10.3</v>
      </c>
      <c r="AF69" s="74">
        <v>10.3</v>
      </c>
      <c r="AG69" s="75">
        <v>14</v>
      </c>
      <c r="AH69" s="52">
        <f t="shared" si="2"/>
        <v>10.6</v>
      </c>
      <c r="AI69" s="53">
        <f t="shared" si="3"/>
        <v>6</v>
      </c>
      <c r="AK69" s="54"/>
    </row>
    <row r="70" spans="1:40" ht="15.75" thickBot="1" x14ac:dyDescent="0.3">
      <c r="A70" s="81" t="s">
        <v>78</v>
      </c>
      <c r="B70" s="67">
        <f t="shared" ref="B70:K70" si="7">B67+B68+B69</f>
        <v>99.3</v>
      </c>
      <c r="C70" s="67">
        <f t="shared" si="7"/>
        <v>99.3</v>
      </c>
      <c r="D70" s="67">
        <f t="shared" si="7"/>
        <v>99.3</v>
      </c>
      <c r="E70" s="67">
        <f t="shared" si="7"/>
        <v>99.3</v>
      </c>
      <c r="F70" s="67">
        <f t="shared" si="7"/>
        <v>99.3</v>
      </c>
      <c r="G70" s="67">
        <f t="shared" si="7"/>
        <v>99.3</v>
      </c>
      <c r="H70" s="67">
        <f t="shared" si="7"/>
        <v>99.5</v>
      </c>
      <c r="I70" s="67">
        <f t="shared" si="7"/>
        <v>88.800000000000011</v>
      </c>
      <c r="J70" s="67">
        <f t="shared" si="7"/>
        <v>59.599999999999994</v>
      </c>
      <c r="K70" s="67">
        <f t="shared" si="7"/>
        <v>99.4</v>
      </c>
      <c r="L70" s="67">
        <f>L67+L68+L69</f>
        <v>99.6</v>
      </c>
      <c r="M70" s="67">
        <f t="shared" ref="M70:AF70" si="8">M67+M68+M69</f>
        <v>62</v>
      </c>
      <c r="N70" s="67">
        <f t="shared" si="8"/>
        <v>82</v>
      </c>
      <c r="O70" s="67">
        <f t="shared" si="8"/>
        <v>82</v>
      </c>
      <c r="P70" s="67">
        <f t="shared" si="8"/>
        <v>82</v>
      </c>
      <c r="Q70" s="67">
        <f t="shared" si="8"/>
        <v>82</v>
      </c>
      <c r="R70" s="67">
        <f t="shared" si="8"/>
        <v>98.6</v>
      </c>
      <c r="S70" s="67">
        <f t="shared" si="8"/>
        <v>97.8</v>
      </c>
      <c r="T70" s="67">
        <f t="shared" si="8"/>
        <v>97.8</v>
      </c>
      <c r="U70" s="67">
        <f t="shared" si="8"/>
        <v>97.8</v>
      </c>
      <c r="V70" s="67">
        <f t="shared" si="8"/>
        <v>98.6</v>
      </c>
      <c r="W70" s="67">
        <f t="shared" si="8"/>
        <v>98.6</v>
      </c>
      <c r="X70" s="67">
        <f t="shared" si="8"/>
        <v>98.6</v>
      </c>
      <c r="Y70" s="67">
        <f t="shared" si="8"/>
        <v>98.6</v>
      </c>
      <c r="Z70" s="67">
        <f t="shared" si="8"/>
        <v>98.6</v>
      </c>
      <c r="AA70" s="67">
        <f t="shared" si="8"/>
        <v>98.6</v>
      </c>
      <c r="AB70" s="67">
        <f t="shared" si="8"/>
        <v>98.6</v>
      </c>
      <c r="AC70" s="67">
        <f t="shared" si="8"/>
        <v>98.6</v>
      </c>
      <c r="AD70" s="67">
        <f t="shared" si="8"/>
        <v>98.6</v>
      </c>
      <c r="AE70" s="67">
        <f t="shared" si="8"/>
        <v>98.6</v>
      </c>
      <c r="AF70" s="67">
        <f t="shared" si="8"/>
        <v>98.6</v>
      </c>
      <c r="AG70" s="68">
        <f>SUM(AG67:AG69)</f>
        <v>106</v>
      </c>
      <c r="AH70" s="52">
        <f t="shared" si="2"/>
        <v>99.6</v>
      </c>
      <c r="AI70" s="53">
        <f t="shared" si="3"/>
        <v>59.599999999999994</v>
      </c>
      <c r="AK70" s="54"/>
    </row>
    <row r="71" spans="1:40" x14ac:dyDescent="0.25">
      <c r="A71" s="49" t="s">
        <v>79</v>
      </c>
      <c r="B71" s="50">
        <v>40.5</v>
      </c>
      <c r="C71" s="50">
        <v>35</v>
      </c>
      <c r="D71" s="50">
        <v>31.5</v>
      </c>
      <c r="E71" s="50">
        <v>70</v>
      </c>
      <c r="F71" s="50">
        <v>64</v>
      </c>
      <c r="G71" s="50">
        <v>65</v>
      </c>
      <c r="H71" s="50">
        <v>64.099999999999994</v>
      </c>
      <c r="I71" s="50">
        <v>67.099999999999994</v>
      </c>
      <c r="J71" s="50">
        <v>54.2</v>
      </c>
      <c r="K71" s="50">
        <v>54.2</v>
      </c>
      <c r="L71" s="50">
        <v>53.9</v>
      </c>
      <c r="M71" s="50">
        <v>56.4</v>
      </c>
      <c r="N71" s="50">
        <v>73.599999999999994</v>
      </c>
      <c r="O71" s="50">
        <v>73.599999999999994</v>
      </c>
      <c r="P71" s="50">
        <v>73.599999999999994</v>
      </c>
      <c r="Q71" s="50">
        <v>72</v>
      </c>
      <c r="R71" s="50">
        <v>75.8</v>
      </c>
      <c r="S71" s="50">
        <v>72</v>
      </c>
      <c r="T71" s="50">
        <v>71</v>
      </c>
      <c r="U71" s="50">
        <v>79</v>
      </c>
      <c r="V71" s="50">
        <v>73</v>
      </c>
      <c r="W71" s="50">
        <v>73.900000000000006</v>
      </c>
      <c r="X71" s="50">
        <v>68</v>
      </c>
      <c r="Y71" s="50">
        <v>61.1</v>
      </c>
      <c r="Z71" s="50">
        <v>64</v>
      </c>
      <c r="AA71" s="50">
        <v>72.5</v>
      </c>
      <c r="AB71" s="50">
        <v>70.400000000000006</v>
      </c>
      <c r="AC71" s="50">
        <v>71.400000000000006</v>
      </c>
      <c r="AD71" s="50">
        <v>74.2</v>
      </c>
      <c r="AE71" s="50">
        <v>60.4</v>
      </c>
      <c r="AF71" s="50">
        <v>67.7</v>
      </c>
      <c r="AG71" s="56"/>
      <c r="AH71" s="52">
        <f t="shared" si="2"/>
        <v>79</v>
      </c>
      <c r="AI71" s="53">
        <f t="shared" si="3"/>
        <v>31.5</v>
      </c>
      <c r="AK71" s="54"/>
    </row>
    <row r="72" spans="1:40" x14ac:dyDescent="0.25">
      <c r="A72" s="60" t="s">
        <v>80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241</v>
      </c>
      <c r="C73" s="72">
        <v>260</v>
      </c>
      <c r="D73" s="72">
        <v>335</v>
      </c>
      <c r="E73" s="72">
        <v>421</v>
      </c>
      <c r="F73" s="72">
        <v>388.9</v>
      </c>
      <c r="G73" s="72">
        <v>369</v>
      </c>
      <c r="H73" s="72">
        <v>460</v>
      </c>
      <c r="I73" s="72">
        <v>447</v>
      </c>
      <c r="J73" s="72">
        <v>440.2</v>
      </c>
      <c r="K73" s="72">
        <v>423.4</v>
      </c>
      <c r="L73" s="72">
        <v>415.4</v>
      </c>
      <c r="M73" s="72">
        <v>420</v>
      </c>
      <c r="N73" s="72">
        <v>451</v>
      </c>
      <c r="O73" s="72">
        <v>451</v>
      </c>
      <c r="P73" s="72">
        <v>492</v>
      </c>
      <c r="Q73" s="72">
        <v>489</v>
      </c>
      <c r="R73" s="72">
        <v>499.5</v>
      </c>
      <c r="S73" s="72">
        <v>491</v>
      </c>
      <c r="T73" s="72">
        <v>489</v>
      </c>
      <c r="U73" s="72">
        <v>512</v>
      </c>
      <c r="V73" s="72">
        <v>447</v>
      </c>
      <c r="W73" s="72">
        <v>455</v>
      </c>
      <c r="X73" s="72">
        <v>425</v>
      </c>
      <c r="Y73" s="72">
        <v>400</v>
      </c>
      <c r="Z73" s="72">
        <v>327</v>
      </c>
      <c r="AA73" s="72">
        <v>285</v>
      </c>
      <c r="AB73" s="72">
        <v>285</v>
      </c>
      <c r="AC73" s="72">
        <v>267</v>
      </c>
      <c r="AD73" s="72">
        <v>342</v>
      </c>
      <c r="AE73" s="72">
        <v>459</v>
      </c>
      <c r="AF73" s="72">
        <v>500</v>
      </c>
      <c r="AG73" s="82"/>
      <c r="AH73" s="52">
        <f t="shared" si="2"/>
        <v>512</v>
      </c>
      <c r="AI73" s="53">
        <f t="shared" si="3"/>
        <v>241</v>
      </c>
      <c r="AK73" s="54"/>
    </row>
    <row r="74" spans="1:40" x14ac:dyDescent="0.25">
      <c r="A74" s="60" t="s">
        <v>82</v>
      </c>
      <c r="B74" s="72">
        <v>62.5</v>
      </c>
      <c r="C74" s="72">
        <v>64</v>
      </c>
      <c r="D74" s="72">
        <v>64.400000000000006</v>
      </c>
      <c r="E74" s="83">
        <v>64.7</v>
      </c>
      <c r="F74" s="83">
        <v>64.900000000000006</v>
      </c>
      <c r="G74" s="83">
        <v>65.900000000000006</v>
      </c>
      <c r="H74" s="83">
        <v>65.3</v>
      </c>
      <c r="I74" s="83">
        <v>65.099999999999994</v>
      </c>
      <c r="J74" s="83">
        <v>63.4</v>
      </c>
      <c r="K74" s="83">
        <v>65.900000000000006</v>
      </c>
      <c r="L74" s="83">
        <v>60</v>
      </c>
      <c r="M74" s="83">
        <v>63.3</v>
      </c>
      <c r="N74" s="83">
        <v>56.5</v>
      </c>
      <c r="O74" s="83">
        <v>56.5</v>
      </c>
      <c r="P74" s="83">
        <v>15</v>
      </c>
      <c r="Q74" s="83">
        <v>15</v>
      </c>
      <c r="R74" s="83">
        <v>15</v>
      </c>
      <c r="S74" s="83">
        <v>15</v>
      </c>
      <c r="T74" s="83">
        <v>63.5</v>
      </c>
      <c r="U74" s="83">
        <v>63.5</v>
      </c>
      <c r="V74" s="83">
        <v>67</v>
      </c>
      <c r="W74" s="83">
        <v>63.9</v>
      </c>
      <c r="X74" s="83">
        <v>70</v>
      </c>
      <c r="Y74" s="83">
        <v>57</v>
      </c>
      <c r="Z74" s="72">
        <v>10</v>
      </c>
      <c r="AA74" s="72">
        <v>10</v>
      </c>
      <c r="AB74" s="72">
        <v>10</v>
      </c>
      <c r="AC74" s="72">
        <v>13</v>
      </c>
      <c r="AD74" s="72">
        <v>13</v>
      </c>
      <c r="AE74" s="72">
        <v>13</v>
      </c>
      <c r="AF74" s="72">
        <v>13</v>
      </c>
      <c r="AG74" s="82"/>
      <c r="AH74" s="52">
        <f t="shared" si="2"/>
        <v>70</v>
      </c>
      <c r="AI74" s="53">
        <f t="shared" si="3"/>
        <v>10</v>
      </c>
      <c r="AK74" s="54"/>
    </row>
    <row r="75" spans="1:40" x14ac:dyDescent="0.25">
      <c r="A75" s="60" t="s">
        <v>83</v>
      </c>
      <c r="B75" s="50">
        <v>26.6</v>
      </c>
      <c r="C75" s="50">
        <v>26.6</v>
      </c>
      <c r="D75" s="50">
        <v>25.2</v>
      </c>
      <c r="E75" s="50">
        <v>23</v>
      </c>
      <c r="F75" s="50">
        <v>23.3</v>
      </c>
      <c r="G75" s="50">
        <v>23.9</v>
      </c>
      <c r="H75" s="50">
        <v>20.7</v>
      </c>
      <c r="I75" s="50">
        <v>18</v>
      </c>
      <c r="J75" s="50">
        <v>20</v>
      </c>
      <c r="K75" s="50">
        <v>21.7</v>
      </c>
      <c r="L75" s="50">
        <v>26.4</v>
      </c>
      <c r="M75" s="50">
        <v>0</v>
      </c>
      <c r="N75" s="50">
        <v>66.900000000000006</v>
      </c>
      <c r="O75" s="50">
        <v>66.900000000000006</v>
      </c>
      <c r="P75" s="50">
        <v>28.8</v>
      </c>
      <c r="Q75" s="50">
        <v>32.5</v>
      </c>
      <c r="R75" s="50">
        <v>30.8</v>
      </c>
      <c r="S75" s="50">
        <v>33.700000000000003</v>
      </c>
      <c r="T75" s="50">
        <v>34.4</v>
      </c>
      <c r="U75" s="50">
        <v>34.4</v>
      </c>
      <c r="V75" s="50">
        <v>28.4</v>
      </c>
      <c r="W75" s="50">
        <v>26.1</v>
      </c>
      <c r="X75" s="50">
        <v>24</v>
      </c>
      <c r="Y75" s="50">
        <v>26</v>
      </c>
      <c r="Z75" s="50">
        <v>0</v>
      </c>
      <c r="AA75" s="50">
        <v>0</v>
      </c>
      <c r="AB75" s="50">
        <v>0</v>
      </c>
      <c r="AC75" s="50">
        <v>0</v>
      </c>
      <c r="AD75" s="50">
        <v>0</v>
      </c>
      <c r="AE75" s="50">
        <v>0</v>
      </c>
      <c r="AF75" s="50">
        <v>0</v>
      </c>
      <c r="AG75" s="82"/>
      <c r="AH75" s="52">
        <f t="shared" ref="AH75:AH117" si="9">MAX(B75:AF75)</f>
        <v>66.900000000000006</v>
      </c>
      <c r="AI75" s="53">
        <f t="shared" ref="AI75:AI117" si="10">MIN(B75:AF75)</f>
        <v>0</v>
      </c>
      <c r="AK75" s="54"/>
    </row>
    <row r="76" spans="1:40" x14ac:dyDescent="0.25">
      <c r="A76" s="60" t="s">
        <v>84</v>
      </c>
      <c r="B76" s="84">
        <v>5</v>
      </c>
      <c r="C76" s="84">
        <v>5</v>
      </c>
      <c r="D76" s="84">
        <v>5</v>
      </c>
      <c r="E76" s="84">
        <v>5</v>
      </c>
      <c r="F76" s="84">
        <v>5</v>
      </c>
      <c r="G76" s="84">
        <v>5</v>
      </c>
      <c r="H76" s="84">
        <v>5</v>
      </c>
      <c r="I76" s="84">
        <v>5</v>
      </c>
      <c r="J76" s="84">
        <v>5</v>
      </c>
      <c r="K76" s="84">
        <v>5</v>
      </c>
      <c r="L76" s="84">
        <v>5</v>
      </c>
      <c r="M76" s="84">
        <v>5</v>
      </c>
      <c r="N76" s="84">
        <v>5</v>
      </c>
      <c r="O76" s="84">
        <v>5</v>
      </c>
      <c r="P76" s="84">
        <v>5</v>
      </c>
      <c r="Q76" s="84">
        <v>5</v>
      </c>
      <c r="R76" s="84">
        <v>5</v>
      </c>
      <c r="S76" s="84">
        <v>5</v>
      </c>
      <c r="T76" s="84">
        <v>5</v>
      </c>
      <c r="U76" s="84">
        <v>5</v>
      </c>
      <c r="V76" s="84">
        <v>5</v>
      </c>
      <c r="W76" s="84">
        <v>5</v>
      </c>
      <c r="X76" s="84">
        <v>5</v>
      </c>
      <c r="Y76" s="84">
        <v>5</v>
      </c>
      <c r="Z76" s="84">
        <v>5</v>
      </c>
      <c r="AA76" s="84">
        <v>5</v>
      </c>
      <c r="AB76" s="84">
        <v>5</v>
      </c>
      <c r="AC76" s="84">
        <v>5</v>
      </c>
      <c r="AD76" s="84">
        <v>5</v>
      </c>
      <c r="AE76" s="84">
        <v>5</v>
      </c>
      <c r="AF76" s="84">
        <v>5</v>
      </c>
      <c r="AG76" s="82"/>
      <c r="AH76" s="52">
        <f t="shared" si="9"/>
        <v>5</v>
      </c>
      <c r="AI76" s="53">
        <f t="shared" si="10"/>
        <v>5</v>
      </c>
      <c r="AK76" s="54"/>
    </row>
    <row r="77" spans="1:40" ht="15.75" thickBot="1" x14ac:dyDescent="0.3">
      <c r="A77" s="60" t="s">
        <v>85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5</v>
      </c>
      <c r="Q77" s="84">
        <v>5</v>
      </c>
      <c r="R77" s="84">
        <v>5</v>
      </c>
      <c r="S77" s="84">
        <v>5</v>
      </c>
      <c r="T77" s="84">
        <v>5</v>
      </c>
      <c r="U77" s="84">
        <v>5</v>
      </c>
      <c r="V77" s="84">
        <v>5</v>
      </c>
      <c r="W77" s="84">
        <v>5</v>
      </c>
      <c r="X77" s="84">
        <v>5</v>
      </c>
      <c r="Y77" s="84">
        <v>5</v>
      </c>
      <c r="Z77" s="84">
        <v>5</v>
      </c>
      <c r="AA77" s="84">
        <v>5</v>
      </c>
      <c r="AB77" s="84">
        <v>5</v>
      </c>
      <c r="AC77" s="84">
        <v>5</v>
      </c>
      <c r="AD77" s="84">
        <v>5</v>
      </c>
      <c r="AE77" s="84">
        <v>5</v>
      </c>
      <c r="AF77" s="84">
        <v>5</v>
      </c>
      <c r="AG77" s="82"/>
      <c r="AH77" s="52">
        <f t="shared" si="9"/>
        <v>5</v>
      </c>
      <c r="AI77" s="53">
        <f t="shared" si="10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9"/>
        <v>0</v>
      </c>
      <c r="AI78" s="53">
        <f t="shared" si="10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9"/>
        <v>0</v>
      </c>
      <c r="AI79" s="53">
        <f t="shared" si="10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9"/>
        <v>0</v>
      </c>
      <c r="AI80" s="53">
        <f t="shared" si="10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9"/>
        <v>0</v>
      </c>
      <c r="AI81" s="53">
        <f t="shared" si="10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:AF82" si="11">SUMIF(B71:B81,"&gt;0")</f>
        <v>375.6</v>
      </c>
      <c r="C82" s="67">
        <f t="shared" si="11"/>
        <v>390.6</v>
      </c>
      <c r="D82" s="67">
        <f t="shared" si="11"/>
        <v>461.09999999999997</v>
      </c>
      <c r="E82" s="67">
        <f t="shared" si="11"/>
        <v>583.70000000000005</v>
      </c>
      <c r="F82" s="67">
        <f t="shared" si="11"/>
        <v>546.09999999999991</v>
      </c>
      <c r="G82" s="67">
        <f t="shared" si="11"/>
        <v>528.79999999999995</v>
      </c>
      <c r="H82" s="67">
        <f t="shared" si="11"/>
        <v>615.1</v>
      </c>
      <c r="I82" s="67">
        <f t="shared" si="11"/>
        <v>602.20000000000005</v>
      </c>
      <c r="J82" s="67">
        <f t="shared" si="11"/>
        <v>582.79999999999995</v>
      </c>
      <c r="K82" s="67">
        <f t="shared" si="11"/>
        <v>570.20000000000005</v>
      </c>
      <c r="L82" s="67">
        <f t="shared" si="11"/>
        <v>560.69999999999993</v>
      </c>
      <c r="M82" s="67">
        <f t="shared" si="11"/>
        <v>544.69999999999993</v>
      </c>
      <c r="N82" s="67">
        <f t="shared" si="11"/>
        <v>653</v>
      </c>
      <c r="O82" s="67">
        <f t="shared" si="11"/>
        <v>653</v>
      </c>
      <c r="P82" s="67">
        <f t="shared" si="11"/>
        <v>619.4</v>
      </c>
      <c r="Q82" s="67">
        <f t="shared" si="11"/>
        <v>618.5</v>
      </c>
      <c r="R82" s="67">
        <f t="shared" si="11"/>
        <v>631.09999999999991</v>
      </c>
      <c r="S82" s="67">
        <f t="shared" si="11"/>
        <v>621.70000000000005</v>
      </c>
      <c r="T82" s="67">
        <f t="shared" si="11"/>
        <v>667.9</v>
      </c>
      <c r="U82" s="67">
        <f t="shared" si="11"/>
        <v>698.9</v>
      </c>
      <c r="V82" s="67">
        <f t="shared" si="11"/>
        <v>625.4</v>
      </c>
      <c r="W82" s="67">
        <f t="shared" si="11"/>
        <v>628.9</v>
      </c>
      <c r="X82" s="67">
        <f t="shared" si="11"/>
        <v>597</v>
      </c>
      <c r="Y82" s="67">
        <f t="shared" si="11"/>
        <v>554.1</v>
      </c>
      <c r="Z82" s="67">
        <f t="shared" si="11"/>
        <v>411</v>
      </c>
      <c r="AA82" s="67">
        <f t="shared" si="11"/>
        <v>377.5</v>
      </c>
      <c r="AB82" s="67">
        <f t="shared" si="11"/>
        <v>375.4</v>
      </c>
      <c r="AC82" s="67">
        <f t="shared" si="11"/>
        <v>361.4</v>
      </c>
      <c r="AD82" s="67">
        <f t="shared" si="11"/>
        <v>439.2</v>
      </c>
      <c r="AE82" s="67">
        <f t="shared" si="11"/>
        <v>542.4</v>
      </c>
      <c r="AF82" s="67">
        <f t="shared" si="11"/>
        <v>590.70000000000005</v>
      </c>
      <c r="AG82" s="95">
        <f>SUM(AG71:AG81)</f>
        <v>0</v>
      </c>
      <c r="AH82" s="52">
        <f t="shared" si="9"/>
        <v>698.9</v>
      </c>
      <c r="AI82" s="53">
        <f t="shared" si="10"/>
        <v>361.4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9"/>
        <v>0</v>
      </c>
      <c r="AI83" s="53">
        <f t="shared" si="10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9"/>
        <v>0</v>
      </c>
      <c r="AI84" s="53">
        <f t="shared" si="10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9"/>
        <v>0</v>
      </c>
      <c r="AI85" s="53">
        <f t="shared" si="10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9"/>
        <v>0</v>
      </c>
      <c r="AI86" s="53">
        <f t="shared" si="10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:AG87" si="12">B48+B52+B70+B66+B82+B86</f>
        <v>1327.6399999999999</v>
      </c>
      <c r="C87" s="102">
        <f t="shared" si="12"/>
        <v>1289.6399999999999</v>
      </c>
      <c r="D87" s="102">
        <f t="shared" si="12"/>
        <v>1340.4399999999998</v>
      </c>
      <c r="E87" s="102">
        <f t="shared" si="12"/>
        <v>1342.3400000000001</v>
      </c>
      <c r="F87" s="102">
        <f t="shared" si="12"/>
        <v>1299.8399999999999</v>
      </c>
      <c r="G87" s="102">
        <f t="shared" si="12"/>
        <v>1301.3399999999999</v>
      </c>
      <c r="H87" s="102">
        <f t="shared" si="12"/>
        <v>1335.44</v>
      </c>
      <c r="I87" s="102">
        <f t="shared" si="12"/>
        <v>1269.6400000000001</v>
      </c>
      <c r="J87" s="102">
        <f t="shared" si="12"/>
        <v>1190.2399999999998</v>
      </c>
      <c r="K87" s="102">
        <f t="shared" si="12"/>
        <v>1249.6399999999999</v>
      </c>
      <c r="L87" s="102">
        <f t="shared" si="12"/>
        <v>1294.8399999999999</v>
      </c>
      <c r="M87" s="102">
        <f t="shared" si="12"/>
        <v>1216.44</v>
      </c>
      <c r="N87" s="102">
        <f t="shared" si="12"/>
        <v>1302.74</v>
      </c>
      <c r="O87" s="102">
        <f t="shared" si="12"/>
        <v>1302.74</v>
      </c>
      <c r="P87" s="102">
        <f t="shared" si="12"/>
        <v>1269.1399999999999</v>
      </c>
      <c r="Q87" s="102">
        <f t="shared" si="12"/>
        <v>1426.74</v>
      </c>
      <c r="R87" s="102">
        <f t="shared" si="12"/>
        <v>1462.04</v>
      </c>
      <c r="S87" s="102">
        <f t="shared" si="12"/>
        <v>1451.8400000000001</v>
      </c>
      <c r="T87" s="102">
        <f t="shared" si="12"/>
        <v>1525.54</v>
      </c>
      <c r="U87" s="102">
        <f t="shared" si="12"/>
        <v>1505.8400000000001</v>
      </c>
      <c r="V87" s="102">
        <f t="shared" si="12"/>
        <v>1487.1399999999999</v>
      </c>
      <c r="W87" s="102">
        <f t="shared" si="12"/>
        <v>1398.44</v>
      </c>
      <c r="X87" s="102">
        <f t="shared" si="12"/>
        <v>1356.6399999999999</v>
      </c>
      <c r="Y87" s="102">
        <f t="shared" si="12"/>
        <v>1406.24</v>
      </c>
      <c r="Z87" s="102">
        <f t="shared" si="12"/>
        <v>1429.44</v>
      </c>
      <c r="AA87" s="102">
        <f t="shared" si="12"/>
        <v>1469.24</v>
      </c>
      <c r="AB87" s="102">
        <f t="shared" si="12"/>
        <v>1401.1399999999999</v>
      </c>
      <c r="AC87" s="102">
        <f t="shared" si="12"/>
        <v>1387.1399999999999</v>
      </c>
      <c r="AD87" s="102">
        <f t="shared" si="12"/>
        <v>1405.34</v>
      </c>
      <c r="AE87" s="102">
        <f t="shared" si="12"/>
        <v>1228.04</v>
      </c>
      <c r="AF87" s="102">
        <f t="shared" si="12"/>
        <v>1246.74</v>
      </c>
      <c r="AG87" s="68">
        <f t="shared" si="12"/>
        <v>2065.09</v>
      </c>
      <c r="AH87" s="52">
        <f>MAX(B87:AF87)</f>
        <v>1525.54</v>
      </c>
      <c r="AI87" s="53">
        <f>MIN(B87:AF87)</f>
        <v>1190.2399999999998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>
        <v>150</v>
      </c>
      <c r="J88" s="104">
        <v>230</v>
      </c>
      <c r="K88" s="104">
        <v>230</v>
      </c>
      <c r="L88" s="104">
        <v>230</v>
      </c>
      <c r="M88" s="104">
        <v>230</v>
      </c>
      <c r="N88" s="104">
        <v>230</v>
      </c>
      <c r="O88" s="104">
        <v>230</v>
      </c>
      <c r="P88" s="104">
        <f>25+25+70</f>
        <v>120</v>
      </c>
      <c r="Q88" s="104">
        <v>120</v>
      </c>
      <c r="R88" s="104">
        <v>120</v>
      </c>
      <c r="S88" s="104">
        <v>120</v>
      </c>
      <c r="T88" s="104">
        <v>50</v>
      </c>
      <c r="U88" s="104">
        <v>50</v>
      </c>
      <c r="V88" s="104">
        <v>120</v>
      </c>
      <c r="W88" s="104">
        <v>200</v>
      </c>
      <c r="X88" s="104">
        <v>320</v>
      </c>
      <c r="Y88" s="104">
        <v>320</v>
      </c>
      <c r="Z88" s="104">
        <v>390</v>
      </c>
      <c r="AA88" s="104">
        <v>390</v>
      </c>
      <c r="AB88" s="104">
        <v>390</v>
      </c>
      <c r="AC88" s="104">
        <v>390</v>
      </c>
      <c r="AD88" s="104">
        <v>300</v>
      </c>
      <c r="AE88" s="104">
        <v>250</v>
      </c>
      <c r="AF88" s="104">
        <v>100</v>
      </c>
      <c r="AG88" s="95"/>
      <c r="AH88" s="52">
        <f t="shared" si="9"/>
        <v>390</v>
      </c>
      <c r="AI88" s="53">
        <f t="shared" si="10"/>
        <v>50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:AF89" si="13">B87+B88</f>
        <v>1327.6399999999999</v>
      </c>
      <c r="C89" s="102">
        <f t="shared" si="13"/>
        <v>1289.6399999999999</v>
      </c>
      <c r="D89" s="102">
        <f t="shared" si="13"/>
        <v>1340.4399999999998</v>
      </c>
      <c r="E89" s="102">
        <f t="shared" si="13"/>
        <v>1342.3400000000001</v>
      </c>
      <c r="F89" s="102">
        <f t="shared" si="13"/>
        <v>1299.8399999999999</v>
      </c>
      <c r="G89" s="102">
        <f t="shared" si="13"/>
        <v>1301.3399999999999</v>
      </c>
      <c r="H89" s="102">
        <f t="shared" si="13"/>
        <v>1335.44</v>
      </c>
      <c r="I89" s="102">
        <f t="shared" si="13"/>
        <v>1419.64</v>
      </c>
      <c r="J89" s="102">
        <f t="shared" si="13"/>
        <v>1420.2399999999998</v>
      </c>
      <c r="K89" s="102">
        <f t="shared" si="13"/>
        <v>1479.6399999999999</v>
      </c>
      <c r="L89" s="102">
        <f t="shared" si="13"/>
        <v>1524.84</v>
      </c>
      <c r="M89" s="102">
        <f t="shared" si="13"/>
        <v>1446.44</v>
      </c>
      <c r="N89" s="102">
        <f t="shared" si="13"/>
        <v>1532.74</v>
      </c>
      <c r="O89" s="102">
        <f t="shared" si="13"/>
        <v>1532.74</v>
      </c>
      <c r="P89" s="102">
        <f t="shared" si="13"/>
        <v>1389.1399999999999</v>
      </c>
      <c r="Q89" s="102">
        <f t="shared" si="13"/>
        <v>1546.74</v>
      </c>
      <c r="R89" s="102">
        <f t="shared" si="13"/>
        <v>1582.04</v>
      </c>
      <c r="S89" s="102">
        <f t="shared" si="13"/>
        <v>1571.8400000000001</v>
      </c>
      <c r="T89" s="102">
        <f t="shared" si="13"/>
        <v>1575.54</v>
      </c>
      <c r="U89" s="102">
        <f t="shared" si="13"/>
        <v>1555.8400000000001</v>
      </c>
      <c r="V89" s="102">
        <f t="shared" si="13"/>
        <v>1607.1399999999999</v>
      </c>
      <c r="W89" s="102">
        <f t="shared" si="13"/>
        <v>1598.44</v>
      </c>
      <c r="X89" s="102">
        <f t="shared" si="13"/>
        <v>1676.6399999999999</v>
      </c>
      <c r="Y89" s="102">
        <f t="shared" si="13"/>
        <v>1726.24</v>
      </c>
      <c r="Z89" s="102">
        <f t="shared" si="13"/>
        <v>1819.44</v>
      </c>
      <c r="AA89" s="102">
        <f t="shared" si="13"/>
        <v>1859.24</v>
      </c>
      <c r="AB89" s="102">
        <f t="shared" si="13"/>
        <v>1791.1399999999999</v>
      </c>
      <c r="AC89" s="102">
        <f t="shared" si="13"/>
        <v>1777.1399999999999</v>
      </c>
      <c r="AD89" s="102">
        <f t="shared" si="13"/>
        <v>1705.34</v>
      </c>
      <c r="AE89" s="102">
        <f t="shared" si="13"/>
        <v>1478.04</v>
      </c>
      <c r="AF89" s="102">
        <f t="shared" si="13"/>
        <v>1346.74</v>
      </c>
      <c r="AG89" s="95">
        <f>AG86+AG82+AG70+AG66+AG48+AG88</f>
        <v>1526.99</v>
      </c>
      <c r="AH89" s="52">
        <f t="shared" si="9"/>
        <v>1859.24</v>
      </c>
      <c r="AI89" s="53">
        <f t="shared" si="10"/>
        <v>1289.6399999999999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:AF90" si="14">B89-B97</f>
        <v>1327.6399999999999</v>
      </c>
      <c r="C90" s="102">
        <f t="shared" si="14"/>
        <v>1289.6399999999999</v>
      </c>
      <c r="D90" s="102">
        <f t="shared" si="14"/>
        <v>1340.4399999999998</v>
      </c>
      <c r="E90" s="102">
        <f t="shared" si="14"/>
        <v>1342.3400000000001</v>
      </c>
      <c r="F90" s="102">
        <f t="shared" si="14"/>
        <v>1299.8399999999999</v>
      </c>
      <c r="G90" s="102">
        <f t="shared" si="14"/>
        <v>1301.3399999999999</v>
      </c>
      <c r="H90" s="102">
        <f t="shared" si="14"/>
        <v>1335.44</v>
      </c>
      <c r="I90" s="102">
        <f t="shared" si="14"/>
        <v>1419.64</v>
      </c>
      <c r="J90" s="102">
        <f t="shared" si="14"/>
        <v>1420.2399999999998</v>
      </c>
      <c r="K90" s="102">
        <f t="shared" si="14"/>
        <v>1479.6399999999999</v>
      </c>
      <c r="L90" s="102">
        <f t="shared" si="14"/>
        <v>1524.84</v>
      </c>
      <c r="M90" s="102">
        <f t="shared" si="14"/>
        <v>1446.44</v>
      </c>
      <c r="N90" s="102">
        <f t="shared" si="14"/>
        <v>1532.74</v>
      </c>
      <c r="O90" s="102">
        <f t="shared" si="14"/>
        <v>1532.74</v>
      </c>
      <c r="P90" s="102">
        <f t="shared" si="14"/>
        <v>1389.1399999999999</v>
      </c>
      <c r="Q90" s="102">
        <f t="shared" si="14"/>
        <v>1546.74</v>
      </c>
      <c r="R90" s="102">
        <f t="shared" si="14"/>
        <v>1582.04</v>
      </c>
      <c r="S90" s="102">
        <f t="shared" si="14"/>
        <v>1571.8400000000001</v>
      </c>
      <c r="T90" s="102">
        <f t="shared" si="14"/>
        <v>1575.54</v>
      </c>
      <c r="U90" s="102">
        <f t="shared" si="14"/>
        <v>1555.8400000000001</v>
      </c>
      <c r="V90" s="102">
        <f t="shared" si="14"/>
        <v>1607.1399999999999</v>
      </c>
      <c r="W90" s="102">
        <f t="shared" si="14"/>
        <v>1598.44</v>
      </c>
      <c r="X90" s="102">
        <f t="shared" si="14"/>
        <v>1676.6399999999999</v>
      </c>
      <c r="Y90" s="102">
        <f t="shared" si="14"/>
        <v>1726.24</v>
      </c>
      <c r="Z90" s="102">
        <f t="shared" si="14"/>
        <v>1819.44</v>
      </c>
      <c r="AA90" s="102">
        <f t="shared" si="14"/>
        <v>1859.24</v>
      </c>
      <c r="AB90" s="102">
        <f t="shared" si="14"/>
        <v>1791.1399999999999</v>
      </c>
      <c r="AC90" s="102">
        <f t="shared" si="14"/>
        <v>1777.1399999999999</v>
      </c>
      <c r="AD90" s="102">
        <f t="shared" si="14"/>
        <v>1705.34</v>
      </c>
      <c r="AE90" s="102">
        <f t="shared" si="14"/>
        <v>1478.04</v>
      </c>
      <c r="AF90" s="102">
        <f t="shared" si="14"/>
        <v>1346.74</v>
      </c>
      <c r="AG90" s="95"/>
      <c r="AH90" s="52">
        <f t="shared" si="9"/>
        <v>1859.24</v>
      </c>
      <c r="AI90" s="53">
        <f t="shared" si="10"/>
        <v>1289.6399999999999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9"/>
        <v>0</v>
      </c>
      <c r="AI91" s="53">
        <f t="shared" si="10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9"/>
        <v>0</v>
      </c>
      <c r="AI92" s="53">
        <f t="shared" si="10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9"/>
        <v>0</v>
      </c>
      <c r="AI93" s="53">
        <f t="shared" si="10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9"/>
        <v>0</v>
      </c>
      <c r="AI94" s="53">
        <f t="shared" si="10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9"/>
        <v>0</v>
      </c>
      <c r="AI95" s="53">
        <f t="shared" si="10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9"/>
        <v>0</v>
      </c>
      <c r="AI96" s="53">
        <f t="shared" si="10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9"/>
        <v>0</v>
      </c>
      <c r="AI97" s="53">
        <f t="shared" si="10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:AF98" si="15">B82-B97</f>
        <v>375.6</v>
      </c>
      <c r="C98" s="67">
        <f t="shared" si="15"/>
        <v>390.6</v>
      </c>
      <c r="D98" s="67">
        <f t="shared" si="15"/>
        <v>461.09999999999997</v>
      </c>
      <c r="E98" s="67">
        <f t="shared" si="15"/>
        <v>583.70000000000005</v>
      </c>
      <c r="F98" s="67">
        <f t="shared" si="15"/>
        <v>546.09999999999991</v>
      </c>
      <c r="G98" s="67">
        <f t="shared" si="15"/>
        <v>528.79999999999995</v>
      </c>
      <c r="H98" s="67">
        <f t="shared" si="15"/>
        <v>615.1</v>
      </c>
      <c r="I98" s="67">
        <f t="shared" si="15"/>
        <v>602.20000000000005</v>
      </c>
      <c r="J98" s="67">
        <f t="shared" si="15"/>
        <v>582.79999999999995</v>
      </c>
      <c r="K98" s="67">
        <f t="shared" si="15"/>
        <v>570.20000000000005</v>
      </c>
      <c r="L98" s="67">
        <f t="shared" si="15"/>
        <v>560.69999999999993</v>
      </c>
      <c r="M98" s="67">
        <f t="shared" si="15"/>
        <v>544.69999999999993</v>
      </c>
      <c r="N98" s="67">
        <f t="shared" si="15"/>
        <v>653</v>
      </c>
      <c r="O98" s="67">
        <f t="shared" si="15"/>
        <v>653</v>
      </c>
      <c r="P98" s="67">
        <f t="shared" si="15"/>
        <v>619.4</v>
      </c>
      <c r="Q98" s="67">
        <f t="shared" si="15"/>
        <v>618.5</v>
      </c>
      <c r="R98" s="67">
        <f t="shared" si="15"/>
        <v>631.09999999999991</v>
      </c>
      <c r="S98" s="67">
        <f t="shared" si="15"/>
        <v>621.70000000000005</v>
      </c>
      <c r="T98" s="67">
        <f t="shared" si="15"/>
        <v>667.9</v>
      </c>
      <c r="U98" s="67">
        <f t="shared" si="15"/>
        <v>698.9</v>
      </c>
      <c r="V98" s="67">
        <f t="shared" si="15"/>
        <v>625.4</v>
      </c>
      <c r="W98" s="67">
        <f t="shared" si="15"/>
        <v>628.9</v>
      </c>
      <c r="X98" s="67">
        <f t="shared" si="15"/>
        <v>597</v>
      </c>
      <c r="Y98" s="67">
        <f t="shared" si="15"/>
        <v>554.1</v>
      </c>
      <c r="Z98" s="67">
        <f t="shared" si="15"/>
        <v>411</v>
      </c>
      <c r="AA98" s="67">
        <f t="shared" si="15"/>
        <v>377.5</v>
      </c>
      <c r="AB98" s="67">
        <f t="shared" si="15"/>
        <v>375.4</v>
      </c>
      <c r="AC98" s="67">
        <f t="shared" si="15"/>
        <v>361.4</v>
      </c>
      <c r="AD98" s="67">
        <f t="shared" si="15"/>
        <v>439.2</v>
      </c>
      <c r="AE98" s="67">
        <f t="shared" si="15"/>
        <v>542.4</v>
      </c>
      <c r="AF98" s="67">
        <f t="shared" si="15"/>
        <v>590.70000000000005</v>
      </c>
      <c r="AG98" s="95"/>
      <c r="AH98" s="52">
        <f t="shared" si="9"/>
        <v>698.9</v>
      </c>
      <c r="AI98" s="53">
        <f t="shared" si="10"/>
        <v>361.4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49.935000000000002</v>
      </c>
      <c r="C99" s="108">
        <v>49.935000000000002</v>
      </c>
      <c r="D99" s="108">
        <v>50.046999999999997</v>
      </c>
      <c r="E99" s="108">
        <v>49.976999999999997</v>
      </c>
      <c r="F99" s="108">
        <v>50.024999999999999</v>
      </c>
      <c r="G99" s="108">
        <v>50.052999999999997</v>
      </c>
      <c r="H99" s="108">
        <v>50.052999999999997</v>
      </c>
      <c r="I99" s="108">
        <v>49.994999999999997</v>
      </c>
      <c r="J99" s="108">
        <v>50.128999999999998</v>
      </c>
      <c r="K99" s="108">
        <v>50.033000000000001</v>
      </c>
      <c r="L99" s="108">
        <v>50.107999999999997</v>
      </c>
      <c r="M99" s="108">
        <v>50.207999999999998</v>
      </c>
      <c r="N99" s="108">
        <v>50.012</v>
      </c>
      <c r="O99" s="108">
        <v>50.012</v>
      </c>
      <c r="P99" s="108">
        <v>50.067</v>
      </c>
      <c r="Q99" s="108">
        <v>50.085999999999999</v>
      </c>
      <c r="R99" s="108">
        <v>50.01</v>
      </c>
      <c r="S99" s="108">
        <v>50.097999999999999</v>
      </c>
      <c r="T99" s="108">
        <v>49.9</v>
      </c>
      <c r="U99" s="108">
        <v>49.9</v>
      </c>
      <c r="V99" s="108">
        <v>49.92</v>
      </c>
      <c r="W99" s="108">
        <v>50.002000000000002</v>
      </c>
      <c r="X99" s="108">
        <v>49.965000000000003</v>
      </c>
      <c r="Y99" s="108">
        <v>49.981999999999999</v>
      </c>
      <c r="Z99" s="108">
        <v>50.165999999999997</v>
      </c>
      <c r="AA99" s="108">
        <v>49.991999999999997</v>
      </c>
      <c r="AB99" s="108">
        <v>50.067999999999998</v>
      </c>
      <c r="AC99" s="108">
        <v>50.084000000000003</v>
      </c>
      <c r="AD99" s="108">
        <v>50.072000000000003</v>
      </c>
      <c r="AE99" s="108">
        <v>49.575000000000003</v>
      </c>
      <c r="AF99" s="108">
        <v>49.942999999999998</v>
      </c>
      <c r="AG99" s="109"/>
      <c r="AH99" s="52">
        <f t="shared" si="9"/>
        <v>50.207999999999998</v>
      </c>
      <c r="AI99" s="53">
        <f t="shared" si="10"/>
        <v>49.575000000000003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127.1</v>
      </c>
      <c r="C100" s="72">
        <v>127.1</v>
      </c>
      <c r="D100" s="72">
        <v>126.8</v>
      </c>
      <c r="E100" s="72">
        <v>127.1</v>
      </c>
      <c r="F100" s="72">
        <v>128.4</v>
      </c>
      <c r="G100" s="72">
        <v>128.30000000000001</v>
      </c>
      <c r="H100" s="72">
        <v>128.30000000000001</v>
      </c>
      <c r="I100" s="72">
        <v>128.80000000000001</v>
      </c>
      <c r="J100" s="72">
        <v>128.4</v>
      </c>
      <c r="K100" s="72">
        <v>128.30000000000001</v>
      </c>
      <c r="L100" s="72">
        <v>126.6</v>
      </c>
      <c r="M100" s="72">
        <v>127.7</v>
      </c>
      <c r="N100" s="72">
        <v>127.4</v>
      </c>
      <c r="O100" s="72">
        <v>127.4</v>
      </c>
      <c r="P100" s="72">
        <v>124.1</v>
      </c>
      <c r="Q100" s="72">
        <v>124.4</v>
      </c>
      <c r="R100" s="72">
        <v>124.8</v>
      </c>
      <c r="S100" s="72">
        <v>126.1</v>
      </c>
      <c r="T100" s="72">
        <v>122.4</v>
      </c>
      <c r="U100" s="72">
        <v>122.4</v>
      </c>
      <c r="V100" s="72">
        <v>127.3</v>
      </c>
      <c r="W100" s="72">
        <v>128</v>
      </c>
      <c r="X100" s="72">
        <v>130</v>
      </c>
      <c r="Y100" s="72">
        <v>128.19999999999999</v>
      </c>
      <c r="Z100" s="72">
        <v>127.3</v>
      </c>
      <c r="AA100" s="72">
        <v>127.1</v>
      </c>
      <c r="AB100" s="72">
        <v>128.5</v>
      </c>
      <c r="AC100" s="72">
        <v>128.80000000000001</v>
      </c>
      <c r="AD100" s="72">
        <v>128.30000000000001</v>
      </c>
      <c r="AE100" s="72">
        <v>127.52</v>
      </c>
      <c r="AF100" s="72">
        <v>127.2</v>
      </c>
      <c r="AG100" s="111"/>
      <c r="AH100" s="52">
        <f t="shared" si="9"/>
        <v>130</v>
      </c>
      <c r="AI100" s="53">
        <f t="shared" si="10"/>
        <v>122.4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131.4</v>
      </c>
      <c r="C101" s="72">
        <v>131.4</v>
      </c>
      <c r="D101" s="72">
        <v>131.4</v>
      </c>
      <c r="E101" s="72">
        <v>131.6</v>
      </c>
      <c r="F101" s="72">
        <v>132.5</v>
      </c>
      <c r="G101" s="72">
        <v>132</v>
      </c>
      <c r="H101" s="72">
        <v>132</v>
      </c>
      <c r="I101" s="72">
        <v>131.69999999999999</v>
      </c>
      <c r="J101" s="72">
        <v>130.5</v>
      </c>
      <c r="K101" s="72">
        <v>130.6</v>
      </c>
      <c r="L101" s="72">
        <v>128.9</v>
      </c>
      <c r="M101" s="72">
        <v>129.4</v>
      </c>
      <c r="N101" s="72">
        <v>129.69999999999999</v>
      </c>
      <c r="O101" s="72">
        <v>129.69999999999999</v>
      </c>
      <c r="P101" s="72">
        <v>126.3</v>
      </c>
      <c r="Q101" s="72">
        <v>127.5</v>
      </c>
      <c r="R101" s="72">
        <v>127.9</v>
      </c>
      <c r="S101" s="72">
        <v>128.30000000000001</v>
      </c>
      <c r="T101" s="72">
        <v>126.3</v>
      </c>
      <c r="U101" s="72">
        <v>126.3</v>
      </c>
      <c r="V101" s="72">
        <v>130</v>
      </c>
      <c r="W101" s="72">
        <v>130.1</v>
      </c>
      <c r="X101" s="72">
        <v>132.30000000000001</v>
      </c>
      <c r="Y101" s="72">
        <v>130.19999999999999</v>
      </c>
      <c r="Z101" s="72">
        <v>130</v>
      </c>
      <c r="AA101" s="72">
        <v>129.5</v>
      </c>
      <c r="AB101" s="72">
        <v>131.5</v>
      </c>
      <c r="AC101" s="72">
        <v>131.30000000000001</v>
      </c>
      <c r="AD101" s="72">
        <v>131</v>
      </c>
      <c r="AE101" s="72">
        <v>130.9</v>
      </c>
      <c r="AF101" s="72">
        <v>130.9</v>
      </c>
      <c r="AG101" s="111"/>
      <c r="AH101" s="52">
        <f t="shared" si="9"/>
        <v>132.5</v>
      </c>
      <c r="AI101" s="53">
        <f t="shared" si="10"/>
        <v>126.3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128.1</v>
      </c>
      <c r="C102" s="72">
        <v>128.1</v>
      </c>
      <c r="D102" s="72">
        <v>129.80000000000001</v>
      </c>
      <c r="E102" s="72">
        <v>129.30000000000001</v>
      </c>
      <c r="F102" s="72">
        <v>129.6</v>
      </c>
      <c r="G102" s="72">
        <v>131.6</v>
      </c>
      <c r="H102" s="72">
        <v>131.6</v>
      </c>
      <c r="I102" s="72">
        <v>130.69999999999999</v>
      </c>
      <c r="J102" s="72">
        <v>131</v>
      </c>
      <c r="K102" s="72">
        <v>129.1</v>
      </c>
      <c r="L102" s="72">
        <v>127.7</v>
      </c>
      <c r="M102" s="72">
        <v>125.5</v>
      </c>
      <c r="N102" s="72">
        <v>126.5</v>
      </c>
      <c r="O102" s="72">
        <v>126.5</v>
      </c>
      <c r="P102" s="72">
        <v>126.6</v>
      </c>
      <c r="Q102" s="72">
        <v>128.80000000000001</v>
      </c>
      <c r="R102" s="72">
        <v>126.8</v>
      </c>
      <c r="S102" s="72">
        <v>129</v>
      </c>
      <c r="T102" s="72">
        <v>124.1</v>
      </c>
      <c r="U102" s="72">
        <v>124.1</v>
      </c>
      <c r="V102" s="72">
        <v>127.8</v>
      </c>
      <c r="W102" s="72">
        <v>127.7</v>
      </c>
      <c r="X102" s="72">
        <v>129.5</v>
      </c>
      <c r="Y102" s="72">
        <v>127.6</v>
      </c>
      <c r="Z102" s="72">
        <v>128.69999999999999</v>
      </c>
      <c r="AA102" s="72">
        <v>126.8</v>
      </c>
      <c r="AB102" s="72">
        <v>129.1</v>
      </c>
      <c r="AC102" s="72">
        <v>126.5</v>
      </c>
      <c r="AD102" s="72">
        <v>128.4</v>
      </c>
      <c r="AE102" s="72">
        <v>127.5</v>
      </c>
      <c r="AF102" s="72">
        <v>129.19999999999999</v>
      </c>
      <c r="AG102" s="111"/>
      <c r="AH102" s="52">
        <f t="shared" si="9"/>
        <v>131.6</v>
      </c>
      <c r="AI102" s="53">
        <f t="shared" si="10"/>
        <v>124.1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9"/>
        <v>0</v>
      </c>
      <c r="AI103" s="53">
        <f t="shared" si="10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130.5</v>
      </c>
      <c r="C104" s="113">
        <v>130.5</v>
      </c>
      <c r="D104" s="113">
        <v>131.9</v>
      </c>
      <c r="E104" s="113">
        <v>130.9</v>
      </c>
      <c r="F104" s="113">
        <v>134.4</v>
      </c>
      <c r="G104" s="113">
        <v>133</v>
      </c>
      <c r="H104" s="113">
        <v>133</v>
      </c>
      <c r="I104" s="113">
        <v>134.80000000000001</v>
      </c>
      <c r="J104" s="113">
        <v>134.80000000000001</v>
      </c>
      <c r="K104" s="113">
        <v>134.5</v>
      </c>
      <c r="L104" s="113">
        <v>131.4</v>
      </c>
      <c r="M104" s="113">
        <v>132.1</v>
      </c>
      <c r="N104" s="113">
        <v>129</v>
      </c>
      <c r="O104" s="113">
        <v>129</v>
      </c>
      <c r="P104" s="113">
        <v>128.9</v>
      </c>
      <c r="Q104" s="113">
        <v>132.69999999999999</v>
      </c>
      <c r="R104" s="113">
        <v>134</v>
      </c>
      <c r="S104" s="113">
        <v>133.4</v>
      </c>
      <c r="T104" s="113">
        <v>133.1</v>
      </c>
      <c r="U104" s="113">
        <v>133.1</v>
      </c>
      <c r="V104" s="113">
        <v>137</v>
      </c>
      <c r="W104" s="113">
        <v>136.69999999999999</v>
      </c>
      <c r="X104" s="113">
        <v>134</v>
      </c>
      <c r="Y104" s="113">
        <v>134.1</v>
      </c>
      <c r="Z104" s="113">
        <v>134.1</v>
      </c>
      <c r="AA104" s="113">
        <v>131.4</v>
      </c>
      <c r="AB104" s="113">
        <v>132.1</v>
      </c>
      <c r="AC104" s="113">
        <v>132.1</v>
      </c>
      <c r="AD104" s="113">
        <v>130.30000000000001</v>
      </c>
      <c r="AE104" s="113">
        <v>129.58000000000001</v>
      </c>
      <c r="AF104" s="113">
        <v>130.1</v>
      </c>
      <c r="AG104" s="114"/>
      <c r="AH104" s="52">
        <f t="shared" si="9"/>
        <v>137</v>
      </c>
      <c r="AI104" s="53">
        <f t="shared" si="10"/>
        <v>128.9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135.6</v>
      </c>
      <c r="C105" s="72">
        <v>135.6</v>
      </c>
      <c r="D105" s="72">
        <v>131.30000000000001</v>
      </c>
      <c r="E105" s="72">
        <v>130.5</v>
      </c>
      <c r="F105" s="72">
        <v>125.6</v>
      </c>
      <c r="G105" s="72">
        <v>129.19999999999999</v>
      </c>
      <c r="H105" s="72">
        <v>129.19999999999999</v>
      </c>
      <c r="I105" s="72">
        <v>128.69999999999999</v>
      </c>
      <c r="J105" s="72">
        <v>131.19999999999999</v>
      </c>
      <c r="K105" s="72">
        <v>129.5</v>
      </c>
      <c r="L105" s="72">
        <v>128.5</v>
      </c>
      <c r="M105" s="72">
        <v>129.30000000000001</v>
      </c>
      <c r="N105" s="72">
        <v>133.4</v>
      </c>
      <c r="O105" s="72">
        <v>133.4</v>
      </c>
      <c r="P105" s="72">
        <v>129.30000000000001</v>
      </c>
      <c r="Q105" s="72">
        <v>127.9</v>
      </c>
      <c r="R105" s="72">
        <v>122.9</v>
      </c>
      <c r="S105" s="72">
        <v>128.1</v>
      </c>
      <c r="T105" s="72">
        <v>131</v>
      </c>
      <c r="U105" s="72">
        <v>131</v>
      </c>
      <c r="V105" s="72">
        <v>128.6</v>
      </c>
      <c r="W105" s="72">
        <v>125.1</v>
      </c>
      <c r="X105" s="72">
        <v>126.1</v>
      </c>
      <c r="Y105" s="72">
        <v>124.4</v>
      </c>
      <c r="Z105" s="72">
        <v>128.69999999999999</v>
      </c>
      <c r="AA105" s="72">
        <v>129.1</v>
      </c>
      <c r="AB105" s="72">
        <v>126.3</v>
      </c>
      <c r="AC105" s="72">
        <v>125.2</v>
      </c>
      <c r="AD105" s="72">
        <v>129.30000000000001</v>
      </c>
      <c r="AE105" s="72">
        <v>131.30000000000001</v>
      </c>
      <c r="AF105" s="72">
        <v>127.1</v>
      </c>
      <c r="AG105" s="111"/>
      <c r="AH105" s="52">
        <f t="shared" si="9"/>
        <v>135.6</v>
      </c>
      <c r="AI105" s="53">
        <f t="shared" si="10"/>
        <v>122.9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65.7</v>
      </c>
      <c r="C106" s="99">
        <v>65.7</v>
      </c>
      <c r="D106" s="99">
        <v>65.8</v>
      </c>
      <c r="E106" s="99">
        <v>65.900000000000006</v>
      </c>
      <c r="F106" s="99">
        <v>66.400000000000006</v>
      </c>
      <c r="G106" s="99">
        <v>66.099999999999994</v>
      </c>
      <c r="H106" s="99">
        <v>66.099999999999994</v>
      </c>
      <c r="I106" s="99">
        <v>65.900000000000006</v>
      </c>
      <c r="J106" s="99">
        <v>65.3</v>
      </c>
      <c r="K106" s="99">
        <v>65.3</v>
      </c>
      <c r="L106" s="99">
        <v>64.599999999999994</v>
      </c>
      <c r="M106" s="99">
        <v>64.900000000000006</v>
      </c>
      <c r="N106" s="99">
        <v>64.599999999999994</v>
      </c>
      <c r="O106" s="99">
        <v>64.599999999999994</v>
      </c>
      <c r="P106" s="99">
        <v>64.599999999999994</v>
      </c>
      <c r="Q106" s="99">
        <v>64</v>
      </c>
      <c r="R106" s="99">
        <v>64.2</v>
      </c>
      <c r="S106" s="99">
        <v>63.5</v>
      </c>
      <c r="T106" s="99">
        <v>63.5</v>
      </c>
      <c r="U106" s="99">
        <v>63.5</v>
      </c>
      <c r="V106" s="99">
        <v>64.900000000000006</v>
      </c>
      <c r="W106" s="99">
        <v>64.900000000000006</v>
      </c>
      <c r="X106" s="99">
        <v>65.099999999999994</v>
      </c>
      <c r="Y106" s="99">
        <v>65</v>
      </c>
      <c r="Z106" s="99">
        <v>64.599999999999994</v>
      </c>
      <c r="AA106" s="99">
        <v>64.5</v>
      </c>
      <c r="AB106" s="99">
        <v>65.5</v>
      </c>
      <c r="AC106" s="99">
        <v>65.599999999999994</v>
      </c>
      <c r="AD106" s="99">
        <v>65.400000000000006</v>
      </c>
      <c r="AE106" s="99">
        <v>65.5</v>
      </c>
      <c r="AF106" s="99">
        <v>65.7</v>
      </c>
      <c r="AG106" s="115"/>
      <c r="AH106" s="52">
        <f t="shared" si="9"/>
        <v>66.400000000000006</v>
      </c>
      <c r="AI106" s="53">
        <f t="shared" si="10"/>
        <v>63.5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9"/>
        <v>0</v>
      </c>
      <c r="AI107" s="53">
        <f t="shared" si="10"/>
        <v>0</v>
      </c>
    </row>
    <row r="108" spans="1:88" ht="15.75" thickBot="1" x14ac:dyDescent="0.3">
      <c r="A108" s="117" t="s">
        <v>116</v>
      </c>
      <c r="B108" s="118">
        <f t="shared" ref="B108:AF108" si="16">SUM(B18,B24,B27:B28,B56,B58:B59,B61,B63,B109:B113,B135,B141,B147,B156,B158,B170,B177,B180:B181,B188,B190,B192,B196:B198,B200:B202,B207,B213:B214,B216:B218,B226,B231)</f>
        <v>125.9</v>
      </c>
      <c r="C108" s="118">
        <f t="shared" si="16"/>
        <v>126.84</v>
      </c>
      <c r="D108" s="118">
        <f t="shared" si="16"/>
        <v>107.24</v>
      </c>
      <c r="E108" s="118">
        <f t="shared" si="16"/>
        <v>111.54000000000002</v>
      </c>
      <c r="F108" s="118">
        <f t="shared" si="16"/>
        <v>117.14</v>
      </c>
      <c r="G108" s="118">
        <f t="shared" si="16"/>
        <v>142.13999999999999</v>
      </c>
      <c r="H108" s="118">
        <f t="shared" si="16"/>
        <v>189.74</v>
      </c>
      <c r="I108" s="118">
        <f t="shared" si="16"/>
        <v>205.54000000000002</v>
      </c>
      <c r="J108" s="118">
        <f t="shared" si="16"/>
        <v>243.33999999999997</v>
      </c>
      <c r="K108" s="118">
        <f t="shared" si="16"/>
        <v>265.74</v>
      </c>
      <c r="L108" s="118">
        <f t="shared" si="16"/>
        <v>277.94</v>
      </c>
      <c r="M108" s="118">
        <f t="shared" si="16"/>
        <v>293.24</v>
      </c>
      <c r="N108" s="118">
        <f t="shared" si="16"/>
        <v>283.73999999999995</v>
      </c>
      <c r="O108" s="118">
        <f t="shared" si="16"/>
        <v>283.73999999999995</v>
      </c>
      <c r="P108" s="118">
        <v>42</v>
      </c>
      <c r="Q108" s="118">
        <f t="shared" si="16"/>
        <v>265.2</v>
      </c>
      <c r="R108" s="118">
        <f t="shared" si="16"/>
        <v>272.49999999999994</v>
      </c>
      <c r="S108" s="118">
        <f t="shared" si="16"/>
        <v>279.39999999999998</v>
      </c>
      <c r="T108" s="118">
        <f t="shared" si="16"/>
        <v>286.2</v>
      </c>
      <c r="U108" s="118">
        <f t="shared" si="16"/>
        <v>286.2</v>
      </c>
      <c r="V108" s="118">
        <f t="shared" si="16"/>
        <v>291.5</v>
      </c>
      <c r="W108" s="118">
        <f t="shared" si="16"/>
        <v>291.10000000000002</v>
      </c>
      <c r="X108" s="118">
        <f t="shared" si="16"/>
        <v>288.79999999999995</v>
      </c>
      <c r="Y108" s="118">
        <f t="shared" si="16"/>
        <v>313.3</v>
      </c>
      <c r="Z108" s="118">
        <f t="shared" si="16"/>
        <v>352.4</v>
      </c>
      <c r="AA108" s="118">
        <f t="shared" si="16"/>
        <v>333.6</v>
      </c>
      <c r="AB108" s="118">
        <f t="shared" si="16"/>
        <v>293.39999999999998</v>
      </c>
      <c r="AC108" s="118">
        <f t="shared" si="16"/>
        <v>285.29999999999995</v>
      </c>
      <c r="AD108" s="118">
        <f t="shared" si="16"/>
        <v>242.5</v>
      </c>
      <c r="AE108" s="118">
        <f t="shared" si="16"/>
        <v>162.89999999999998</v>
      </c>
      <c r="AF108" s="118">
        <f t="shared" si="16"/>
        <v>149.39999999999998</v>
      </c>
      <c r="AG108" s="119"/>
      <c r="AH108" s="52">
        <f t="shared" si="9"/>
        <v>352.4</v>
      </c>
      <c r="AI108" s="53">
        <f t="shared" si="10"/>
        <v>42</v>
      </c>
    </row>
    <row r="109" spans="1:88" x14ac:dyDescent="0.25">
      <c r="A109" s="107" t="s">
        <v>117</v>
      </c>
      <c r="B109" s="120">
        <v>-13.7</v>
      </c>
      <c r="C109" s="120">
        <v>-13.7</v>
      </c>
      <c r="D109" s="120">
        <v>-23.2</v>
      </c>
      <c r="E109" s="120">
        <v>-23.2</v>
      </c>
      <c r="F109" s="120">
        <v>-20.3</v>
      </c>
      <c r="G109" s="120">
        <v>-18.600000000000001</v>
      </c>
      <c r="H109" s="120">
        <v>-4.5</v>
      </c>
      <c r="I109" s="120">
        <v>-7.8</v>
      </c>
      <c r="J109" s="120">
        <v>-8.6999999999999993</v>
      </c>
      <c r="K109" s="120">
        <v>1.3</v>
      </c>
      <c r="L109" s="120">
        <v>-2.4</v>
      </c>
      <c r="M109" s="120">
        <v>2.2999999999999998</v>
      </c>
      <c r="N109" s="120">
        <v>-4.9000000000000004</v>
      </c>
      <c r="O109" s="120">
        <v>-4.9000000000000004</v>
      </c>
      <c r="P109" s="120">
        <v>2.5</v>
      </c>
      <c r="Q109" s="120">
        <v>11.5</v>
      </c>
      <c r="R109" s="120">
        <v>13.3</v>
      </c>
      <c r="S109" s="120">
        <v>8.3000000000000007</v>
      </c>
      <c r="T109" s="120">
        <v>17.600000000000001</v>
      </c>
      <c r="U109" s="120">
        <v>17.600000000000001</v>
      </c>
      <c r="V109" s="120">
        <v>15</v>
      </c>
      <c r="W109" s="120">
        <v>20</v>
      </c>
      <c r="X109" s="120">
        <v>9.6</v>
      </c>
      <c r="Y109" s="120">
        <v>18</v>
      </c>
      <c r="Z109" s="120">
        <v>20.3</v>
      </c>
      <c r="AA109" s="120">
        <v>17.3</v>
      </c>
      <c r="AB109" s="120">
        <v>18.3</v>
      </c>
      <c r="AC109" s="120">
        <v>19.100000000000001</v>
      </c>
      <c r="AD109" s="120">
        <v>3.2</v>
      </c>
      <c r="AE109" s="120">
        <v>-27.9</v>
      </c>
      <c r="AF109" s="120">
        <v>-24.7</v>
      </c>
      <c r="AG109" s="121">
        <v>75</v>
      </c>
      <c r="AH109" s="52">
        <f t="shared" si="9"/>
        <v>20.3</v>
      </c>
      <c r="AI109" s="53">
        <f t="shared" si="10"/>
        <v>-27.9</v>
      </c>
    </row>
    <row r="110" spans="1:88" x14ac:dyDescent="0.25">
      <c r="A110" s="110" t="s">
        <v>118</v>
      </c>
      <c r="B110" s="122">
        <v>-14.5</v>
      </c>
      <c r="C110" s="122">
        <v>-14.5</v>
      </c>
      <c r="D110" s="122">
        <v>-27</v>
      </c>
      <c r="E110" s="122">
        <v>-26.9</v>
      </c>
      <c r="F110" s="122">
        <v>-23.6</v>
      </c>
      <c r="G110" s="122">
        <v>-22.2</v>
      </c>
      <c r="H110" s="122">
        <v>-3.7</v>
      </c>
      <c r="I110" s="122">
        <v>-10</v>
      </c>
      <c r="J110" s="122">
        <v>-14.1</v>
      </c>
      <c r="K110" s="122">
        <v>-3.8</v>
      </c>
      <c r="L110" s="122">
        <v>-10.1</v>
      </c>
      <c r="M110" s="122">
        <v>-1.3</v>
      </c>
      <c r="N110" s="122">
        <v>-9.4</v>
      </c>
      <c r="O110" s="122">
        <v>-9.4</v>
      </c>
      <c r="P110" s="122">
        <v>-0.7</v>
      </c>
      <c r="Q110" s="122">
        <v>14.8</v>
      </c>
      <c r="R110" s="122">
        <v>16.7</v>
      </c>
      <c r="S110" s="122">
        <v>10.1</v>
      </c>
      <c r="T110" s="122">
        <v>22.6</v>
      </c>
      <c r="U110" s="122">
        <v>22.6</v>
      </c>
      <c r="V110" s="122">
        <v>16</v>
      </c>
      <c r="W110" s="122">
        <v>23</v>
      </c>
      <c r="X110" s="122">
        <v>7.6</v>
      </c>
      <c r="Y110" s="122">
        <v>16.2</v>
      </c>
      <c r="Z110" s="122">
        <v>21</v>
      </c>
      <c r="AA110" s="122">
        <v>17.100000000000001</v>
      </c>
      <c r="AB110" s="122">
        <v>19.399999999999999</v>
      </c>
      <c r="AC110" s="122">
        <v>21.7</v>
      </c>
      <c r="AD110" s="122">
        <v>1.7</v>
      </c>
      <c r="AE110" s="122">
        <v>-41.2</v>
      </c>
      <c r="AF110" s="122">
        <v>-34.9</v>
      </c>
      <c r="AG110" s="121">
        <v>240</v>
      </c>
      <c r="AH110" s="52">
        <f t="shared" si="9"/>
        <v>23</v>
      </c>
      <c r="AI110" s="53">
        <f t="shared" si="10"/>
        <v>-41.2</v>
      </c>
    </row>
    <row r="111" spans="1:88" x14ac:dyDescent="0.25">
      <c r="A111" s="110" t="s">
        <v>119</v>
      </c>
      <c r="B111" s="122">
        <f>-19-30</f>
        <v>-49</v>
      </c>
      <c r="C111" s="122">
        <f>-19-30</f>
        <v>-49</v>
      </c>
      <c r="D111" s="122">
        <v>-48</v>
      </c>
      <c r="E111" s="122">
        <v>-44</v>
      </c>
      <c r="F111" s="122">
        <v>-44</v>
      </c>
      <c r="G111" s="122">
        <v>-30</v>
      </c>
      <c r="H111" s="122">
        <v>-22</v>
      </c>
      <c r="I111" s="122">
        <v>5.5</v>
      </c>
      <c r="J111" s="122">
        <v>38.6</v>
      </c>
      <c r="K111" s="122">
        <v>35</v>
      </c>
      <c r="L111" s="122">
        <v>34.200000000000003</v>
      </c>
      <c r="M111" s="122">
        <f>27.4+24.9</f>
        <v>52.3</v>
      </c>
      <c r="N111" s="122">
        <f>34+32</f>
        <v>66</v>
      </c>
      <c r="O111" s="122">
        <f>34+32</f>
        <v>66</v>
      </c>
      <c r="P111" s="122">
        <f>13+5.4</f>
        <v>18.399999999999999</v>
      </c>
      <c r="Q111" s="122">
        <v>-1.6</v>
      </c>
      <c r="R111" s="122">
        <f>2.4-6.2</f>
        <v>-3.8000000000000003</v>
      </c>
      <c r="S111" s="122">
        <v>11</v>
      </c>
      <c r="T111" s="122">
        <v>-3</v>
      </c>
      <c r="U111" s="122">
        <v>-3</v>
      </c>
      <c r="V111" s="122">
        <v>13</v>
      </c>
      <c r="W111" s="122">
        <v>16</v>
      </c>
      <c r="X111" s="122">
        <v>40</v>
      </c>
      <c r="Y111" s="122">
        <v>36</v>
      </c>
      <c r="Z111" s="122">
        <v>57</v>
      </c>
      <c r="AA111" s="122">
        <v>54</v>
      </c>
      <c r="AB111" s="122">
        <v>33</v>
      </c>
      <c r="AC111" s="122">
        <f>18.8+12</f>
        <v>30.8</v>
      </c>
      <c r="AD111" s="122">
        <v>10.3</v>
      </c>
      <c r="AE111" s="122">
        <v>5</v>
      </c>
      <c r="AF111" s="122">
        <v>-7</v>
      </c>
      <c r="AG111" s="121">
        <v>240</v>
      </c>
      <c r="AH111" s="52">
        <f t="shared" si="9"/>
        <v>66</v>
      </c>
      <c r="AI111" s="53">
        <f t="shared" si="10"/>
        <v>-49</v>
      </c>
    </row>
    <row r="112" spans="1:88" x14ac:dyDescent="0.25">
      <c r="A112" s="110" t="s">
        <v>120</v>
      </c>
      <c r="B112" s="122">
        <v>27.9</v>
      </c>
      <c r="C112" s="122">
        <v>27.9</v>
      </c>
      <c r="D112" s="122">
        <v>30</v>
      </c>
      <c r="E112" s="122">
        <v>25</v>
      </c>
      <c r="F112" s="122">
        <v>31.2</v>
      </c>
      <c r="G112" s="122">
        <v>28.8</v>
      </c>
      <c r="H112" s="122">
        <v>31.6</v>
      </c>
      <c r="I112" s="122">
        <v>28.4</v>
      </c>
      <c r="J112" s="122">
        <v>29.7</v>
      </c>
      <c r="K112" s="122">
        <v>45.1</v>
      </c>
      <c r="L112" s="122">
        <v>46.9</v>
      </c>
      <c r="M112" s="122">
        <v>37.299999999999997</v>
      </c>
      <c r="N112" s="122">
        <v>37.299999999999997</v>
      </c>
      <c r="O112" s="122">
        <v>37.299999999999997</v>
      </c>
      <c r="P112" s="122">
        <v>41</v>
      </c>
      <c r="Q112" s="122">
        <v>42</v>
      </c>
      <c r="R112" s="122">
        <v>39.5</v>
      </c>
      <c r="S112" s="122">
        <v>39</v>
      </c>
      <c r="T112" s="122">
        <v>38</v>
      </c>
      <c r="U112" s="122">
        <v>38</v>
      </c>
      <c r="V112" s="122">
        <v>38.5</v>
      </c>
      <c r="W112" s="122">
        <v>45</v>
      </c>
      <c r="X112" s="122">
        <v>45.3</v>
      </c>
      <c r="Y112" s="122">
        <v>48</v>
      </c>
      <c r="Z112" s="122">
        <v>54</v>
      </c>
      <c r="AA112" s="122">
        <v>51.1</v>
      </c>
      <c r="AB112" s="122">
        <v>49.5</v>
      </c>
      <c r="AC112" s="122">
        <v>47</v>
      </c>
      <c r="AD112" s="122">
        <v>44.3</v>
      </c>
      <c r="AE112" s="122">
        <v>41.2</v>
      </c>
      <c r="AF112" s="122">
        <v>33.799999999999997</v>
      </c>
      <c r="AG112" s="121">
        <v>60</v>
      </c>
      <c r="AH112" s="52">
        <f t="shared" si="9"/>
        <v>54</v>
      </c>
      <c r="AI112" s="53">
        <f t="shared" si="10"/>
        <v>25</v>
      </c>
    </row>
    <row r="113" spans="1:37" x14ac:dyDescent="0.25">
      <c r="A113" s="123" t="s">
        <v>121</v>
      </c>
      <c r="B113" s="124">
        <v>86.7</v>
      </c>
      <c r="C113" s="124">
        <v>86.7</v>
      </c>
      <c r="D113" s="124">
        <v>86</v>
      </c>
      <c r="E113" s="124">
        <v>83.9</v>
      </c>
      <c r="F113" s="124">
        <v>77.400000000000006</v>
      </c>
      <c r="G113" s="124">
        <v>87.7</v>
      </c>
      <c r="H113" s="124">
        <v>91.9</v>
      </c>
      <c r="I113" s="124">
        <v>94.7</v>
      </c>
      <c r="J113" s="124">
        <v>103.1</v>
      </c>
      <c r="K113" s="124">
        <v>92.7</v>
      </c>
      <c r="L113" s="124">
        <v>112.4</v>
      </c>
      <c r="M113" s="124">
        <v>106</v>
      </c>
      <c r="N113" s="124">
        <v>98.1</v>
      </c>
      <c r="O113" s="124">
        <v>98.1</v>
      </c>
      <c r="P113" s="124">
        <v>103.2</v>
      </c>
      <c r="Q113" s="124">
        <v>103.8</v>
      </c>
      <c r="R113" s="124">
        <v>101.8</v>
      </c>
      <c r="S113" s="124">
        <v>106</v>
      </c>
      <c r="T113" s="124">
        <v>107</v>
      </c>
      <c r="U113" s="124">
        <v>107</v>
      </c>
      <c r="V113" s="124">
        <v>105</v>
      </c>
      <c r="W113" s="124">
        <v>99</v>
      </c>
      <c r="X113" s="124">
        <v>98.2</v>
      </c>
      <c r="Y113" s="124">
        <v>107</v>
      </c>
      <c r="Z113" s="124">
        <v>112</v>
      </c>
      <c r="AA113" s="124">
        <v>106</v>
      </c>
      <c r="AB113" s="124">
        <v>85.1</v>
      </c>
      <c r="AC113" s="124">
        <v>78.599999999999994</v>
      </c>
      <c r="AD113" s="124">
        <v>94.9</v>
      </c>
      <c r="AE113" s="124">
        <v>97.7</v>
      </c>
      <c r="AF113" s="124">
        <v>94.1</v>
      </c>
      <c r="AG113" s="125">
        <v>120</v>
      </c>
      <c r="AH113" s="52">
        <f t="shared" si="9"/>
        <v>112.4</v>
      </c>
      <c r="AI113" s="53">
        <f t="shared" si="10"/>
        <v>77.400000000000006</v>
      </c>
    </row>
    <row r="114" spans="1:37" x14ac:dyDescent="0.25">
      <c r="A114" s="123" t="s">
        <v>122</v>
      </c>
      <c r="B114" s="124">
        <v>90</v>
      </c>
      <c r="C114" s="124">
        <v>90</v>
      </c>
      <c r="D114" s="124">
        <v>93</v>
      </c>
      <c r="E114" s="124">
        <v>96.3</v>
      </c>
      <c r="F114" s="124">
        <v>93.5</v>
      </c>
      <c r="G114" s="124">
        <v>96</v>
      </c>
      <c r="H114" s="124">
        <v>103.2</v>
      </c>
      <c r="I114" s="124">
        <v>93.5</v>
      </c>
      <c r="J114" s="124">
        <v>90.3</v>
      </c>
      <c r="K114" s="124">
        <v>79.2</v>
      </c>
      <c r="L114" s="124">
        <v>93.4</v>
      </c>
      <c r="M114" s="124">
        <v>78.7</v>
      </c>
      <c r="N114" s="124">
        <v>94.4</v>
      </c>
      <c r="O114" s="124">
        <v>94.4</v>
      </c>
      <c r="P114" s="124">
        <v>97.9</v>
      </c>
      <c r="Q114" s="124">
        <v>106</v>
      </c>
      <c r="R114" s="124">
        <v>102.6</v>
      </c>
      <c r="S114" s="124">
        <v>103</v>
      </c>
      <c r="T114" s="124">
        <v>111</v>
      </c>
      <c r="U114" s="124">
        <v>111</v>
      </c>
      <c r="V114" s="124">
        <v>96.2</v>
      </c>
      <c r="W114" s="124">
        <v>91</v>
      </c>
      <c r="X114" s="124">
        <v>80</v>
      </c>
      <c r="Y114" s="124">
        <v>83</v>
      </c>
      <c r="Z114" s="124">
        <v>99</v>
      </c>
      <c r="AA114" s="124">
        <v>102</v>
      </c>
      <c r="AB114" s="124">
        <v>81.400000000000006</v>
      </c>
      <c r="AC114" s="124">
        <v>80.3</v>
      </c>
      <c r="AD114" s="124">
        <v>80</v>
      </c>
      <c r="AE114" s="124">
        <v>98</v>
      </c>
      <c r="AF114" s="124">
        <v>102</v>
      </c>
      <c r="AG114" s="125"/>
      <c r="AH114" s="52">
        <f t="shared" si="9"/>
        <v>111</v>
      </c>
      <c r="AI114" s="53">
        <f t="shared" si="10"/>
        <v>78.7</v>
      </c>
    </row>
    <row r="115" spans="1:37" x14ac:dyDescent="0.25">
      <c r="A115" s="123" t="s">
        <v>123</v>
      </c>
      <c r="B115" s="124"/>
      <c r="C115" s="124"/>
      <c r="D115" s="124"/>
      <c r="E115" s="124"/>
      <c r="F115" s="124"/>
      <c r="G115" s="124">
        <v>53.7</v>
      </c>
      <c r="H115" s="124">
        <v>50.6</v>
      </c>
      <c r="I115" s="124">
        <v>44.4</v>
      </c>
      <c r="J115" s="124">
        <v>37.799999999999997</v>
      </c>
      <c r="K115" s="124">
        <v>32.1</v>
      </c>
      <c r="L115" s="124">
        <v>35.1</v>
      </c>
      <c r="M115" s="124">
        <v>27.4</v>
      </c>
      <c r="N115" s="124">
        <v>32</v>
      </c>
      <c r="O115" s="124">
        <v>32</v>
      </c>
      <c r="P115" s="124">
        <v>48.9</v>
      </c>
      <c r="Q115" s="124">
        <v>44.8</v>
      </c>
      <c r="R115" s="124">
        <v>43.9</v>
      </c>
      <c r="S115" s="124">
        <v>48</v>
      </c>
      <c r="T115" s="124">
        <v>26.1</v>
      </c>
      <c r="U115" s="124">
        <v>26.1</v>
      </c>
      <c r="V115" s="124">
        <v>23.2</v>
      </c>
      <c r="W115" s="124">
        <v>-0.2</v>
      </c>
      <c r="X115" s="124">
        <v>15.2</v>
      </c>
      <c r="Y115" s="124">
        <v>18.2</v>
      </c>
      <c r="Z115" s="124">
        <v>24</v>
      </c>
      <c r="AA115" s="124">
        <v>35</v>
      </c>
      <c r="AB115" s="124">
        <v>31</v>
      </c>
      <c r="AC115" s="124">
        <v>30.3</v>
      </c>
      <c r="AD115" s="124">
        <v>36.799999999999997</v>
      </c>
      <c r="AE115" s="124"/>
      <c r="AF115" s="124"/>
      <c r="AG115" s="126"/>
      <c r="AH115" s="52">
        <f t="shared" si="9"/>
        <v>53.7</v>
      </c>
      <c r="AI115" s="53">
        <f t="shared" si="10"/>
        <v>-0.2</v>
      </c>
    </row>
    <row r="116" spans="1:37" x14ac:dyDescent="0.25">
      <c r="A116" s="127" t="s">
        <v>124</v>
      </c>
      <c r="B116" s="113">
        <v>-36</v>
      </c>
      <c r="C116" s="113">
        <v>-36</v>
      </c>
      <c r="D116" s="113">
        <v>-29.4</v>
      </c>
      <c r="E116" s="113">
        <v>-24.7</v>
      </c>
      <c r="F116" s="113">
        <v>-21.5</v>
      </c>
      <c r="G116" s="113">
        <v>-22.2</v>
      </c>
      <c r="H116" s="113">
        <v>-24.8</v>
      </c>
      <c r="I116" s="113">
        <v>-27.8</v>
      </c>
      <c r="J116" s="113">
        <v>-32.5</v>
      </c>
      <c r="K116" s="113">
        <v>-35.700000000000003</v>
      </c>
      <c r="L116" s="113">
        <v>-45.4</v>
      </c>
      <c r="M116" s="113">
        <v>-54.9</v>
      </c>
      <c r="N116" s="113">
        <v>-45.1</v>
      </c>
      <c r="O116" s="113">
        <v>-45.1</v>
      </c>
      <c r="P116" s="113">
        <v>-44.4</v>
      </c>
      <c r="Q116" s="113">
        <v>-42.3</v>
      </c>
      <c r="R116" s="113">
        <v>49</v>
      </c>
      <c r="S116" s="113">
        <v>-53</v>
      </c>
      <c r="T116" s="113">
        <v>-49.5</v>
      </c>
      <c r="U116" s="113">
        <v>-49.5</v>
      </c>
      <c r="V116" s="113">
        <v>-52</v>
      </c>
      <c r="W116" s="113">
        <v>-54</v>
      </c>
      <c r="X116" s="113">
        <v>-59</v>
      </c>
      <c r="Y116" s="113">
        <v>-65</v>
      </c>
      <c r="Z116" s="113">
        <v>-59</v>
      </c>
      <c r="AA116" s="113">
        <v>-59</v>
      </c>
      <c r="AB116" s="113">
        <v>-58.6</v>
      </c>
      <c r="AC116" s="113">
        <v>-57.8</v>
      </c>
      <c r="AD116" s="113">
        <v>-56.9</v>
      </c>
      <c r="AE116" s="113">
        <v>-46.6</v>
      </c>
      <c r="AF116" s="113">
        <v>-40.5</v>
      </c>
      <c r="AG116" s="126"/>
      <c r="AH116" s="52">
        <f t="shared" si="9"/>
        <v>49</v>
      </c>
      <c r="AI116" s="53">
        <f t="shared" si="10"/>
        <v>-65</v>
      </c>
    </row>
    <row r="117" spans="1:37" ht="15.75" thickBot="1" x14ac:dyDescent="0.3">
      <c r="A117" s="127" t="s">
        <v>125</v>
      </c>
      <c r="B117" s="113">
        <v>116</v>
      </c>
      <c r="C117" s="113">
        <v>116</v>
      </c>
      <c r="D117" s="113">
        <v>121</v>
      </c>
      <c r="E117" s="113">
        <v>117.2</v>
      </c>
      <c r="F117" s="113">
        <v>107.5</v>
      </c>
      <c r="G117" s="113">
        <v>98.7</v>
      </c>
      <c r="H117" s="113">
        <v>90.4</v>
      </c>
      <c r="I117" s="113">
        <v>88</v>
      </c>
      <c r="J117" s="113">
        <v>86</v>
      </c>
      <c r="K117" s="113">
        <v>94</v>
      </c>
      <c r="L117" s="113">
        <v>102.4</v>
      </c>
      <c r="M117" s="113">
        <v>114</v>
      </c>
      <c r="N117" s="113">
        <v>109.8</v>
      </c>
      <c r="O117" s="113">
        <v>109.8</v>
      </c>
      <c r="P117" s="113">
        <v>111.6</v>
      </c>
      <c r="Q117" s="113">
        <v>109.6</v>
      </c>
      <c r="R117" s="113">
        <v>112.1</v>
      </c>
      <c r="S117" s="113">
        <v>113</v>
      </c>
      <c r="T117" s="113">
        <v>107</v>
      </c>
      <c r="U117" s="113">
        <v>107</v>
      </c>
      <c r="V117" s="113">
        <v>110</v>
      </c>
      <c r="W117" s="113">
        <v>114</v>
      </c>
      <c r="X117" s="113">
        <v>115</v>
      </c>
      <c r="Y117" s="113">
        <v>124</v>
      </c>
      <c r="Z117" s="113">
        <v>117</v>
      </c>
      <c r="AA117" s="113">
        <v>123</v>
      </c>
      <c r="AB117" s="113">
        <v>119</v>
      </c>
      <c r="AC117" s="113">
        <v>122.3</v>
      </c>
      <c r="AD117" s="113">
        <v>121</v>
      </c>
      <c r="AE117" s="113">
        <v>110.8</v>
      </c>
      <c r="AF117" s="113">
        <v>109</v>
      </c>
      <c r="AG117" s="126"/>
      <c r="AH117" s="52">
        <f t="shared" si="9"/>
        <v>124</v>
      </c>
      <c r="AI117" s="53">
        <f t="shared" si="10"/>
        <v>86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17">SUM(B119:B223)</f>
        <v>0</v>
      </c>
      <c r="C224" s="144">
        <f t="shared" si="17"/>
        <v>0</v>
      </c>
      <c r="D224" s="144">
        <f t="shared" si="17"/>
        <v>0</v>
      </c>
      <c r="E224" s="144">
        <f t="shared" si="17"/>
        <v>0</v>
      </c>
      <c r="F224" s="144">
        <f t="shared" si="17"/>
        <v>0</v>
      </c>
      <c r="G224" s="144">
        <f t="shared" si="17"/>
        <v>0</v>
      </c>
      <c r="H224" s="144">
        <f t="shared" si="17"/>
        <v>0</v>
      </c>
      <c r="I224" s="144">
        <f t="shared" si="17"/>
        <v>0</v>
      </c>
      <c r="J224" s="144">
        <f t="shared" si="17"/>
        <v>0</v>
      </c>
      <c r="K224" s="144">
        <f t="shared" si="17"/>
        <v>0</v>
      </c>
      <c r="L224" s="144">
        <f t="shared" si="17"/>
        <v>0</v>
      </c>
      <c r="M224" s="144">
        <f t="shared" si="17"/>
        <v>0</v>
      </c>
      <c r="N224" s="144">
        <f t="shared" si="17"/>
        <v>0</v>
      </c>
      <c r="O224" s="144">
        <f t="shared" si="17"/>
        <v>0</v>
      </c>
      <c r="P224" s="144">
        <f t="shared" si="17"/>
        <v>0</v>
      </c>
      <c r="Q224" s="144">
        <f t="shared" si="17"/>
        <v>0</v>
      </c>
      <c r="R224" s="144">
        <f t="shared" si="17"/>
        <v>0</v>
      </c>
      <c r="S224" s="144">
        <f t="shared" si="17"/>
        <v>0</v>
      </c>
      <c r="T224" s="144">
        <f t="shared" si="17"/>
        <v>0</v>
      </c>
      <c r="U224" s="144">
        <f t="shared" si="17"/>
        <v>0</v>
      </c>
      <c r="V224" s="144">
        <f t="shared" si="17"/>
        <v>0</v>
      </c>
      <c r="W224" s="144">
        <f t="shared" si="17"/>
        <v>0</v>
      </c>
      <c r="X224" s="144">
        <f t="shared" si="17"/>
        <v>0</v>
      </c>
      <c r="Y224" s="144">
        <f t="shared" si="17"/>
        <v>0</v>
      </c>
      <c r="Z224" s="144">
        <f t="shared" si="17"/>
        <v>0</v>
      </c>
      <c r="AA224" s="144">
        <f t="shared" si="17"/>
        <v>0</v>
      </c>
      <c r="AB224" s="144">
        <f t="shared" si="17"/>
        <v>0</v>
      </c>
      <c r="AC224" s="144">
        <f t="shared" si="17"/>
        <v>0</v>
      </c>
      <c r="AD224" s="144">
        <f t="shared" si="17"/>
        <v>0</v>
      </c>
      <c r="AE224" s="144">
        <f t="shared" si="17"/>
        <v>0</v>
      </c>
      <c r="AF224" s="145">
        <f t="shared" si="17"/>
        <v>0</v>
      </c>
      <c r="AG224" s="146">
        <f t="shared" si="17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18">AF226</f>
        <v>0</v>
      </c>
      <c r="C226" s="149">
        <v>0.3</v>
      </c>
      <c r="D226" s="149">
        <f t="shared" ref="D226:P231" si="19">C226</f>
        <v>0.3</v>
      </c>
      <c r="E226" s="149">
        <f t="shared" si="19"/>
        <v>0.3</v>
      </c>
      <c r="F226" s="149">
        <f t="shared" si="19"/>
        <v>0.3</v>
      </c>
      <c r="G226" s="149">
        <f t="shared" si="19"/>
        <v>0.3</v>
      </c>
      <c r="H226" s="149">
        <f t="shared" si="19"/>
        <v>0.3</v>
      </c>
      <c r="I226" s="149">
        <f t="shared" si="19"/>
        <v>0.3</v>
      </c>
      <c r="J226" s="149">
        <f t="shared" si="19"/>
        <v>0.3</v>
      </c>
      <c r="K226" s="149">
        <f t="shared" si="19"/>
        <v>0.3</v>
      </c>
      <c r="L226" s="149">
        <f t="shared" si="19"/>
        <v>0.3</v>
      </c>
      <c r="M226" s="149">
        <f t="shared" si="19"/>
        <v>0.3</v>
      </c>
      <c r="N226" s="149">
        <f t="shared" si="19"/>
        <v>0.3</v>
      </c>
      <c r="O226" s="149">
        <f t="shared" si="19"/>
        <v>0.3</v>
      </c>
      <c r="P226" s="149">
        <f t="shared" si="19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18"/>
        <v>0</v>
      </c>
      <c r="C227" s="136">
        <v>0.4</v>
      </c>
      <c r="D227" s="136">
        <f t="shared" si="19"/>
        <v>0.4</v>
      </c>
      <c r="E227" s="136">
        <f t="shared" si="19"/>
        <v>0.4</v>
      </c>
      <c r="F227" s="136">
        <f t="shared" si="19"/>
        <v>0.4</v>
      </c>
      <c r="G227" s="136">
        <f t="shared" si="19"/>
        <v>0.4</v>
      </c>
      <c r="H227" s="136">
        <f t="shared" si="19"/>
        <v>0.4</v>
      </c>
      <c r="I227" s="136">
        <f t="shared" si="19"/>
        <v>0.4</v>
      </c>
      <c r="J227" s="136">
        <f t="shared" si="19"/>
        <v>0.4</v>
      </c>
      <c r="K227" s="136">
        <f t="shared" si="19"/>
        <v>0.4</v>
      </c>
      <c r="L227" s="136">
        <f t="shared" si="19"/>
        <v>0.4</v>
      </c>
      <c r="M227" s="136">
        <f t="shared" si="19"/>
        <v>0.4</v>
      </c>
      <c r="N227" s="136">
        <f t="shared" si="19"/>
        <v>0.4</v>
      </c>
      <c r="O227" s="136">
        <f t="shared" si="19"/>
        <v>0.4</v>
      </c>
      <c r="P227" s="136">
        <f t="shared" si="19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18"/>
        <v>0</v>
      </c>
      <c r="C228" s="136">
        <v>1.5</v>
      </c>
      <c r="D228" s="136">
        <f t="shared" si="19"/>
        <v>1.5</v>
      </c>
      <c r="E228" s="136">
        <f t="shared" si="19"/>
        <v>1.5</v>
      </c>
      <c r="F228" s="136">
        <f t="shared" si="19"/>
        <v>1.5</v>
      </c>
      <c r="G228" s="136">
        <f t="shared" si="19"/>
        <v>1.5</v>
      </c>
      <c r="H228" s="136">
        <f t="shared" si="19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19"/>
        <v>1.5</v>
      </c>
      <c r="K228" s="136">
        <f t="shared" ca="1" si="19"/>
        <v>1.5</v>
      </c>
      <c r="L228" s="136">
        <f t="shared" ca="1" si="19"/>
        <v>1.5</v>
      </c>
      <c r="M228" s="136">
        <f t="shared" ca="1" si="19"/>
        <v>1.5</v>
      </c>
      <c r="N228" s="136">
        <f t="shared" ca="1" si="19"/>
        <v>1.5</v>
      </c>
      <c r="O228" s="136">
        <f t="shared" ca="1" si="19"/>
        <v>1.5</v>
      </c>
      <c r="P228" s="136">
        <f t="shared" ca="1" si="19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18"/>
        <v>0</v>
      </c>
      <c r="C229" s="136">
        <v>0.3</v>
      </c>
      <c r="D229" s="136">
        <f t="shared" si="19"/>
        <v>0.3</v>
      </c>
      <c r="E229" s="136">
        <f t="shared" si="19"/>
        <v>0.3</v>
      </c>
      <c r="F229" s="136">
        <f t="shared" si="19"/>
        <v>0.3</v>
      </c>
      <c r="G229" s="136">
        <f t="shared" si="19"/>
        <v>0.3</v>
      </c>
      <c r="H229" s="136">
        <f t="shared" si="19"/>
        <v>0.3</v>
      </c>
      <c r="I229" s="136">
        <f t="shared" si="19"/>
        <v>0.3</v>
      </c>
      <c r="J229" s="136">
        <f t="shared" si="19"/>
        <v>0.3</v>
      </c>
      <c r="K229" s="136">
        <f t="shared" si="19"/>
        <v>0.3</v>
      </c>
      <c r="L229" s="136">
        <f t="shared" si="19"/>
        <v>0.3</v>
      </c>
      <c r="M229" s="136">
        <f t="shared" si="19"/>
        <v>0.3</v>
      </c>
      <c r="N229" s="136">
        <f t="shared" si="19"/>
        <v>0.3</v>
      </c>
      <c r="O229" s="136">
        <f t="shared" si="19"/>
        <v>0.3</v>
      </c>
      <c r="P229" s="136">
        <f t="shared" si="19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18"/>
        <v>0</v>
      </c>
      <c r="C230" s="136">
        <v>0.4</v>
      </c>
      <c r="D230" s="136">
        <f t="shared" si="19"/>
        <v>0.4</v>
      </c>
      <c r="E230" s="136">
        <f t="shared" si="19"/>
        <v>0.4</v>
      </c>
      <c r="F230" s="136">
        <f t="shared" si="19"/>
        <v>0.4</v>
      </c>
      <c r="G230" s="136">
        <f t="shared" si="19"/>
        <v>0.4</v>
      </c>
      <c r="H230" s="136">
        <f t="shared" si="19"/>
        <v>0.4</v>
      </c>
      <c r="I230" s="136">
        <f t="shared" si="19"/>
        <v>0.4</v>
      </c>
      <c r="J230" s="136">
        <f t="shared" si="19"/>
        <v>0.4</v>
      </c>
      <c r="K230" s="136">
        <f t="shared" si="19"/>
        <v>0.4</v>
      </c>
      <c r="L230" s="136">
        <f t="shared" si="19"/>
        <v>0.4</v>
      </c>
      <c r="M230" s="136">
        <f t="shared" si="19"/>
        <v>0.4</v>
      </c>
      <c r="N230" s="136">
        <f t="shared" si="19"/>
        <v>0.4</v>
      </c>
      <c r="O230" s="136">
        <f t="shared" si="19"/>
        <v>0.4</v>
      </c>
      <c r="P230" s="136">
        <f t="shared" si="19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18"/>
        <v>0</v>
      </c>
      <c r="C231" s="140">
        <v>0.64</v>
      </c>
      <c r="D231" s="140">
        <f t="shared" si="19"/>
        <v>0.64</v>
      </c>
      <c r="E231" s="140">
        <f t="shared" si="19"/>
        <v>0.64</v>
      </c>
      <c r="F231" s="140">
        <f t="shared" si="19"/>
        <v>0.64</v>
      </c>
      <c r="G231" s="140">
        <f t="shared" si="19"/>
        <v>0.64</v>
      </c>
      <c r="H231" s="140">
        <f t="shared" si="19"/>
        <v>0.64</v>
      </c>
      <c r="I231" s="140">
        <f t="shared" si="19"/>
        <v>0.64</v>
      </c>
      <c r="J231" s="140">
        <f t="shared" si="19"/>
        <v>0.64</v>
      </c>
      <c r="K231" s="140">
        <f t="shared" si="19"/>
        <v>0.64</v>
      </c>
      <c r="L231" s="140">
        <f t="shared" si="19"/>
        <v>0.64</v>
      </c>
      <c r="M231" s="140">
        <f t="shared" si="19"/>
        <v>0.64</v>
      </c>
      <c r="N231" s="140">
        <f t="shared" si="19"/>
        <v>0.64</v>
      </c>
      <c r="O231" s="140">
        <f t="shared" si="19"/>
        <v>0.64</v>
      </c>
      <c r="P231" s="140">
        <f t="shared" si="19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20">SUM(B226:B231)</f>
        <v>0</v>
      </c>
      <c r="C232" s="144">
        <f t="shared" si="20"/>
        <v>3.54</v>
      </c>
      <c r="D232" s="144">
        <f t="shared" si="20"/>
        <v>3.54</v>
      </c>
      <c r="E232" s="144">
        <f t="shared" si="20"/>
        <v>3.54</v>
      </c>
      <c r="F232" s="144">
        <f t="shared" si="20"/>
        <v>3.54</v>
      </c>
      <c r="G232" s="144">
        <f t="shared" si="20"/>
        <v>3.54</v>
      </c>
      <c r="H232" s="144">
        <f t="shared" si="20"/>
        <v>3.54</v>
      </c>
      <c r="I232" s="144">
        <f t="shared" ca="1" si="20"/>
        <v>3.54</v>
      </c>
      <c r="J232" s="144">
        <f t="shared" ca="1" si="20"/>
        <v>3.54</v>
      </c>
      <c r="K232" s="144">
        <f t="shared" ca="1" si="20"/>
        <v>3.54</v>
      </c>
      <c r="L232" s="144">
        <f t="shared" ca="1" si="20"/>
        <v>3.54</v>
      </c>
      <c r="M232" s="144">
        <f t="shared" ca="1" si="20"/>
        <v>3.54</v>
      </c>
      <c r="N232" s="144">
        <f t="shared" ca="1" si="20"/>
        <v>3.54</v>
      </c>
      <c r="O232" s="144">
        <f t="shared" ca="1" si="20"/>
        <v>3.54</v>
      </c>
      <c r="P232" s="144">
        <f t="shared" ca="1" si="20"/>
        <v>3.54</v>
      </c>
      <c r="Q232" s="144">
        <f t="shared" si="20"/>
        <v>0</v>
      </c>
      <c r="R232" s="144">
        <f t="shared" si="20"/>
        <v>0</v>
      </c>
      <c r="S232" s="144">
        <f t="shared" si="20"/>
        <v>0</v>
      </c>
      <c r="T232" s="144">
        <f t="shared" si="20"/>
        <v>0</v>
      </c>
      <c r="U232" s="144">
        <f t="shared" si="20"/>
        <v>0</v>
      </c>
      <c r="V232" s="144">
        <f t="shared" si="20"/>
        <v>0</v>
      </c>
      <c r="W232" s="144">
        <f t="shared" si="20"/>
        <v>0</v>
      </c>
      <c r="X232" s="144">
        <f t="shared" si="20"/>
        <v>0</v>
      </c>
      <c r="Y232" s="144">
        <f t="shared" si="20"/>
        <v>0</v>
      </c>
      <c r="Z232" s="144">
        <f t="shared" si="20"/>
        <v>0</v>
      </c>
      <c r="AA232" s="144">
        <f t="shared" si="20"/>
        <v>0</v>
      </c>
      <c r="AB232" s="144">
        <f t="shared" si="20"/>
        <v>0</v>
      </c>
      <c r="AC232" s="144">
        <f t="shared" si="20"/>
        <v>0</v>
      </c>
      <c r="AD232" s="144">
        <f t="shared" si="20"/>
        <v>0</v>
      </c>
      <c r="AE232" s="144">
        <f t="shared" si="20"/>
        <v>0</v>
      </c>
      <c r="AF232" s="144">
        <f t="shared" si="20"/>
        <v>0</v>
      </c>
      <c r="AG232" s="154">
        <f t="shared" si="20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1532.74</v>
      </c>
      <c r="C241" s="170">
        <f>INDEX(G9:N9,1,MATCH(MAX(G89:N89),G89:N89,0))</f>
        <v>0.375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4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2079/12/4)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2079/12/4)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21">B89</f>
        <v>1327.6399999999999</v>
      </c>
      <c r="U246" s="180">
        <f t="shared" si="21"/>
        <v>1289.6399999999999</v>
      </c>
      <c r="V246" s="180">
        <f t="shared" si="21"/>
        <v>1340.4399999999998</v>
      </c>
      <c r="W246" s="180">
        <f t="shared" si="21"/>
        <v>1342.3400000000001</v>
      </c>
      <c r="X246" s="180">
        <f t="shared" si="21"/>
        <v>1299.8399999999999</v>
      </c>
      <c r="Y246" s="180">
        <f t="shared" si="21"/>
        <v>1301.3399999999999</v>
      </c>
      <c r="Z246" s="180">
        <f t="shared" si="21"/>
        <v>1335.44</v>
      </c>
      <c r="AA246" s="180">
        <f t="shared" si="21"/>
        <v>1419.64</v>
      </c>
      <c r="AB246" s="180">
        <f t="shared" si="21"/>
        <v>1420.2399999999998</v>
      </c>
      <c r="AC246" s="180">
        <f t="shared" si="21"/>
        <v>1479.6399999999999</v>
      </c>
      <c r="AD246" s="180">
        <f t="shared" si="21"/>
        <v>1524.84</v>
      </c>
      <c r="AE246" s="180">
        <f t="shared" si="21"/>
        <v>1446.44</v>
      </c>
      <c r="AF246" s="180">
        <f t="shared" si="21"/>
        <v>1532.74</v>
      </c>
      <c r="AG246" s="180">
        <f t="shared" si="21"/>
        <v>1532.74</v>
      </c>
      <c r="AH246" s="180">
        <f t="shared" si="21"/>
        <v>1389.1399999999999</v>
      </c>
      <c r="AI246" s="180">
        <f t="shared" si="21"/>
        <v>1546.74</v>
      </c>
      <c r="AJ246" s="180">
        <f t="shared" si="21"/>
        <v>1582.04</v>
      </c>
      <c r="AK246" s="180">
        <f t="shared" si="21"/>
        <v>1571.8400000000001</v>
      </c>
      <c r="AL246" s="180">
        <f t="shared" si="21"/>
        <v>1575.54</v>
      </c>
      <c r="AM246" s="180">
        <f t="shared" si="21"/>
        <v>1555.8400000000001</v>
      </c>
      <c r="AN246" s="180">
        <f t="shared" si="21"/>
        <v>1607.1399999999999</v>
      </c>
      <c r="AO246" s="180">
        <f t="shared" si="21"/>
        <v>1598.44</v>
      </c>
      <c r="AP246" s="180">
        <f t="shared" si="21"/>
        <v>1676.6399999999999</v>
      </c>
      <c r="AQ246" s="180">
        <f t="shared" si="21"/>
        <v>1726.24</v>
      </c>
      <c r="AR246" s="180">
        <f t="shared" si="21"/>
        <v>1819.44</v>
      </c>
      <c r="AS246" s="180">
        <f t="shared" si="21"/>
        <v>1859.24</v>
      </c>
      <c r="AT246" s="180">
        <f t="shared" si="21"/>
        <v>1791.1399999999999</v>
      </c>
      <c r="AU246" s="180">
        <f t="shared" si="21"/>
        <v>1777.1399999999999</v>
      </c>
      <c r="AV246" s="180">
        <f t="shared" si="21"/>
        <v>1705.34</v>
      </c>
      <c r="AW246" s="180">
        <f t="shared" si="21"/>
        <v>1478.04</v>
      </c>
      <c r="AX246" s="180">
        <f t="shared" si="21"/>
        <v>1346.74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22">C231</f>
        <v>0.64</v>
      </c>
      <c r="C267" s="183">
        <f t="shared" si="22"/>
        <v>0.64</v>
      </c>
      <c r="D267" s="183">
        <f t="shared" si="22"/>
        <v>0.64</v>
      </c>
      <c r="E267" s="183">
        <f t="shared" si="22"/>
        <v>0.64</v>
      </c>
      <c r="F267" s="183">
        <f t="shared" si="22"/>
        <v>0.64</v>
      </c>
      <c r="G267" s="183">
        <f t="shared" si="22"/>
        <v>0.64</v>
      </c>
      <c r="H267" s="183">
        <f t="shared" si="22"/>
        <v>0.64</v>
      </c>
      <c r="I267" s="183">
        <f t="shared" si="22"/>
        <v>0.64</v>
      </c>
      <c r="J267" s="183">
        <f t="shared" si="22"/>
        <v>0.64</v>
      </c>
      <c r="K267" s="183">
        <f t="shared" si="22"/>
        <v>0.64</v>
      </c>
      <c r="L267" s="183">
        <f t="shared" si="22"/>
        <v>0.64</v>
      </c>
      <c r="M267" s="183">
        <f t="shared" si="22"/>
        <v>0.64</v>
      </c>
      <c r="N267" s="183">
        <f t="shared" si="22"/>
        <v>0.64</v>
      </c>
      <c r="O267" s="183">
        <f t="shared" si="22"/>
        <v>0.64</v>
      </c>
      <c r="P267" s="183">
        <f t="shared" si="22"/>
        <v>0</v>
      </c>
      <c r="Q267" s="183">
        <f t="shared" si="22"/>
        <v>0</v>
      </c>
      <c r="R267" s="183">
        <f t="shared" si="22"/>
        <v>0</v>
      </c>
      <c r="S267" s="183">
        <f t="shared" si="22"/>
        <v>0</v>
      </c>
      <c r="T267" s="183">
        <f t="shared" si="22"/>
        <v>0</v>
      </c>
      <c r="U267" s="183">
        <f t="shared" si="22"/>
        <v>0</v>
      </c>
      <c r="V267" s="183">
        <f t="shared" si="22"/>
        <v>0</v>
      </c>
      <c r="W267" s="183">
        <f t="shared" si="22"/>
        <v>0</v>
      </c>
      <c r="X267" s="183">
        <f t="shared" si="22"/>
        <v>0</v>
      </c>
      <c r="Y267" s="183">
        <f t="shared" si="22"/>
        <v>0</v>
      </c>
      <c r="Z267" s="183">
        <f t="shared" si="22"/>
        <v>0</v>
      </c>
      <c r="AA267" s="183">
        <f t="shared" si="22"/>
        <v>0</v>
      </c>
      <c r="AB267" s="183">
        <f t="shared" si="22"/>
        <v>0</v>
      </c>
      <c r="AC267" s="183">
        <f t="shared" si="22"/>
        <v>0</v>
      </c>
      <c r="AD267" s="183">
        <f t="shared" si="22"/>
        <v>0</v>
      </c>
      <c r="AE267" s="183">
        <f t="shared" si="22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23">IF(B235&lt;100,"",B235-520)</f>
        <v/>
      </c>
      <c r="C268" s="184" t="str">
        <f t="shared" si="23"/>
        <v/>
      </c>
      <c r="D268" s="184" t="str">
        <f t="shared" si="23"/>
        <v/>
      </c>
      <c r="E268" s="184" t="str">
        <f t="shared" si="23"/>
        <v/>
      </c>
      <c r="F268" s="184" t="str">
        <f t="shared" si="23"/>
        <v/>
      </c>
      <c r="G268" s="184" t="str">
        <f t="shared" si="23"/>
        <v/>
      </c>
      <c r="H268" s="184" t="str">
        <f t="shared" si="23"/>
        <v/>
      </c>
      <c r="I268" s="184" t="str">
        <f t="shared" si="23"/>
        <v/>
      </c>
      <c r="J268" s="184" t="str">
        <f t="shared" si="23"/>
        <v/>
      </c>
      <c r="K268" s="184" t="str">
        <f t="shared" si="23"/>
        <v/>
      </c>
      <c r="L268" s="184" t="str">
        <f t="shared" si="23"/>
        <v/>
      </c>
      <c r="M268" s="184" t="str">
        <f t="shared" si="23"/>
        <v/>
      </c>
      <c r="N268" s="184" t="str">
        <f t="shared" si="23"/>
        <v/>
      </c>
      <c r="O268" s="184" t="str">
        <f t="shared" si="23"/>
        <v/>
      </c>
      <c r="P268" s="184" t="str">
        <f t="shared" si="23"/>
        <v/>
      </c>
      <c r="Q268" s="184" t="str">
        <f t="shared" si="23"/>
        <v/>
      </c>
      <c r="R268" s="184" t="str">
        <f t="shared" si="23"/>
        <v/>
      </c>
      <c r="S268" s="184" t="str">
        <f t="shared" si="23"/>
        <v/>
      </c>
      <c r="T268" s="184" t="str">
        <f t="shared" si="23"/>
        <v/>
      </c>
      <c r="U268" s="184" t="str">
        <f t="shared" si="23"/>
        <v/>
      </c>
      <c r="V268" s="184" t="str">
        <f t="shared" si="23"/>
        <v/>
      </c>
      <c r="W268" s="184" t="str">
        <f t="shared" si="23"/>
        <v/>
      </c>
      <c r="X268" s="184" t="str">
        <f t="shared" si="23"/>
        <v/>
      </c>
      <c r="Y268" s="184" t="str">
        <f t="shared" si="23"/>
        <v/>
      </c>
      <c r="Z268" s="184" t="str">
        <f t="shared" si="23"/>
        <v/>
      </c>
      <c r="AA268" s="184" t="str">
        <f t="shared" si="23"/>
        <v/>
      </c>
      <c r="AB268" s="184" t="str">
        <f t="shared" si="23"/>
        <v/>
      </c>
      <c r="AC268" s="184" t="str">
        <f t="shared" si="23"/>
        <v/>
      </c>
      <c r="AD268" s="184" t="str">
        <f t="shared" si="23"/>
        <v/>
      </c>
      <c r="AE268" s="184" t="str">
        <f t="shared" si="23"/>
        <v/>
      </c>
      <c r="AF268" s="184" t="str">
        <f t="shared" si="23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24">IF(B236&lt;100,"",B236-620)</f>
        <v/>
      </c>
      <c r="C269" s="184" t="str">
        <f t="shared" si="24"/>
        <v/>
      </c>
      <c r="D269" s="184" t="str">
        <f t="shared" si="24"/>
        <v/>
      </c>
      <c r="E269" s="184" t="str">
        <f t="shared" si="24"/>
        <v/>
      </c>
      <c r="F269" s="184" t="str">
        <f t="shared" si="24"/>
        <v/>
      </c>
      <c r="G269" s="184" t="str">
        <f t="shared" si="24"/>
        <v/>
      </c>
      <c r="H269" s="184" t="str">
        <f t="shared" si="24"/>
        <v/>
      </c>
      <c r="I269" s="184" t="str">
        <f t="shared" si="24"/>
        <v/>
      </c>
      <c r="J269" s="184" t="str">
        <f t="shared" si="24"/>
        <v/>
      </c>
      <c r="K269" s="184" t="str">
        <f t="shared" si="24"/>
        <v/>
      </c>
      <c r="L269" s="184" t="str">
        <f t="shared" si="24"/>
        <v/>
      </c>
      <c r="M269" s="184" t="str">
        <f t="shared" si="24"/>
        <v/>
      </c>
      <c r="N269" s="184" t="str">
        <f t="shared" si="24"/>
        <v/>
      </c>
      <c r="O269" s="184" t="str">
        <f t="shared" si="24"/>
        <v/>
      </c>
      <c r="P269" s="184" t="str">
        <f t="shared" si="24"/>
        <v/>
      </c>
      <c r="Q269" s="184" t="str">
        <f t="shared" si="24"/>
        <v/>
      </c>
      <c r="R269" s="184" t="str">
        <f t="shared" si="24"/>
        <v/>
      </c>
      <c r="S269" s="184" t="str">
        <f t="shared" si="24"/>
        <v/>
      </c>
      <c r="T269" s="184" t="str">
        <f t="shared" si="24"/>
        <v/>
      </c>
      <c r="U269" s="184" t="str">
        <f t="shared" si="24"/>
        <v/>
      </c>
      <c r="V269" s="184" t="str">
        <f t="shared" si="24"/>
        <v/>
      </c>
      <c r="W269" s="184" t="str">
        <f t="shared" si="24"/>
        <v/>
      </c>
      <c r="X269" s="184" t="str">
        <f t="shared" si="24"/>
        <v/>
      </c>
      <c r="Y269" s="184" t="str">
        <f t="shared" si="24"/>
        <v/>
      </c>
      <c r="Z269" s="184" t="str">
        <f t="shared" si="24"/>
        <v/>
      </c>
      <c r="AA269" s="184" t="str">
        <f t="shared" si="24"/>
        <v/>
      </c>
      <c r="AB269" s="184" t="str">
        <f t="shared" si="24"/>
        <v/>
      </c>
      <c r="AC269" s="184" t="str">
        <f t="shared" si="24"/>
        <v/>
      </c>
      <c r="AD269" s="184" t="str">
        <f t="shared" si="24"/>
        <v/>
      </c>
      <c r="AE269" s="184" t="str">
        <f t="shared" si="24"/>
        <v/>
      </c>
      <c r="AF269" s="184" t="str">
        <f t="shared" si="24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25">IF(B237&lt;100,"",B237-330)</f>
        <v/>
      </c>
      <c r="C270" s="184" t="str">
        <f t="shared" si="25"/>
        <v/>
      </c>
      <c r="D270" s="184" t="str">
        <f t="shared" si="25"/>
        <v/>
      </c>
      <c r="E270" s="184" t="str">
        <f t="shared" si="25"/>
        <v/>
      </c>
      <c r="F270" s="184" t="str">
        <f t="shared" si="25"/>
        <v/>
      </c>
      <c r="G270" s="184" t="str">
        <f t="shared" si="25"/>
        <v/>
      </c>
      <c r="H270" s="184" t="str">
        <f t="shared" si="25"/>
        <v/>
      </c>
      <c r="I270" s="184" t="str">
        <f t="shared" si="25"/>
        <v/>
      </c>
      <c r="J270" s="184" t="str">
        <f t="shared" si="25"/>
        <v/>
      </c>
      <c r="K270" s="184" t="str">
        <f t="shared" si="25"/>
        <v/>
      </c>
      <c r="L270" s="184" t="str">
        <f t="shared" si="25"/>
        <v/>
      </c>
      <c r="M270" s="184" t="str">
        <f t="shared" si="25"/>
        <v/>
      </c>
      <c r="N270" s="184" t="str">
        <f t="shared" si="25"/>
        <v/>
      </c>
      <c r="O270" s="184" t="str">
        <f t="shared" si="25"/>
        <v/>
      </c>
      <c r="P270" s="184" t="str">
        <f t="shared" si="25"/>
        <v/>
      </c>
      <c r="Q270" s="184" t="str">
        <f t="shared" si="25"/>
        <v/>
      </c>
      <c r="R270" s="184" t="str">
        <f t="shared" si="25"/>
        <v/>
      </c>
      <c r="S270" s="184" t="str">
        <f t="shared" si="25"/>
        <v/>
      </c>
      <c r="T270" s="184" t="str">
        <f t="shared" si="25"/>
        <v/>
      </c>
      <c r="U270" s="184" t="str">
        <f t="shared" si="25"/>
        <v/>
      </c>
      <c r="V270" s="184" t="str">
        <f t="shared" si="25"/>
        <v/>
      </c>
      <c r="W270" s="184" t="str">
        <f t="shared" si="25"/>
        <v/>
      </c>
      <c r="X270" s="184" t="str">
        <f t="shared" si="25"/>
        <v/>
      </c>
      <c r="Y270" s="184" t="str">
        <f t="shared" si="25"/>
        <v/>
      </c>
      <c r="Z270" s="184" t="str">
        <f t="shared" si="25"/>
        <v/>
      </c>
      <c r="AA270" s="184" t="str">
        <f t="shared" si="25"/>
        <v/>
      </c>
      <c r="AB270" s="184" t="str">
        <f t="shared" si="25"/>
        <v/>
      </c>
      <c r="AC270" s="184" t="str">
        <f t="shared" si="25"/>
        <v/>
      </c>
      <c r="AD270" s="184" t="str">
        <f t="shared" si="25"/>
        <v/>
      </c>
      <c r="AE270" s="184" t="str">
        <f t="shared" si="25"/>
        <v/>
      </c>
      <c r="AF270" s="184" t="str">
        <f t="shared" si="25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26">IF(B238&lt;100,"",B238-1500)</f>
        <v/>
      </c>
      <c r="C271" s="184" t="str">
        <f t="shared" si="26"/>
        <v/>
      </c>
      <c r="D271" s="184" t="str">
        <f t="shared" si="26"/>
        <v/>
      </c>
      <c r="E271" s="184" t="str">
        <f t="shared" si="26"/>
        <v/>
      </c>
      <c r="F271" s="184" t="str">
        <f t="shared" si="26"/>
        <v/>
      </c>
      <c r="G271" s="184" t="str">
        <f t="shared" si="26"/>
        <v/>
      </c>
      <c r="H271" s="184" t="str">
        <f t="shared" si="26"/>
        <v/>
      </c>
      <c r="I271" s="184" t="str">
        <f t="shared" si="26"/>
        <v/>
      </c>
      <c r="J271" s="184" t="str">
        <f t="shared" si="26"/>
        <v/>
      </c>
      <c r="K271" s="184" t="str">
        <f t="shared" si="26"/>
        <v/>
      </c>
      <c r="L271" s="184" t="str">
        <f t="shared" si="26"/>
        <v/>
      </c>
      <c r="M271" s="184" t="str">
        <f t="shared" si="26"/>
        <v/>
      </c>
      <c r="N271" s="184" t="str">
        <f t="shared" si="26"/>
        <v/>
      </c>
      <c r="O271" s="184" t="str">
        <f t="shared" si="26"/>
        <v/>
      </c>
      <c r="P271" s="184" t="str">
        <f t="shared" si="26"/>
        <v/>
      </c>
      <c r="Q271" s="184" t="str">
        <f t="shared" si="26"/>
        <v/>
      </c>
      <c r="R271" s="184" t="str">
        <f t="shared" si="26"/>
        <v/>
      </c>
      <c r="S271" s="184" t="str">
        <f t="shared" si="26"/>
        <v/>
      </c>
      <c r="T271" s="184" t="str">
        <f t="shared" si="26"/>
        <v/>
      </c>
      <c r="U271" s="184" t="str">
        <f t="shared" si="26"/>
        <v/>
      </c>
      <c r="V271" s="184" t="str">
        <f t="shared" si="26"/>
        <v/>
      </c>
      <c r="W271" s="184" t="str">
        <f t="shared" si="26"/>
        <v/>
      </c>
      <c r="X271" s="184" t="str">
        <f t="shared" si="26"/>
        <v/>
      </c>
      <c r="Y271" s="184" t="str">
        <f t="shared" si="26"/>
        <v/>
      </c>
      <c r="Z271" s="184" t="str">
        <f t="shared" si="26"/>
        <v/>
      </c>
      <c r="AA271" s="184" t="str">
        <f t="shared" si="26"/>
        <v/>
      </c>
      <c r="AB271" s="184" t="str">
        <f t="shared" si="26"/>
        <v/>
      </c>
      <c r="AC271" s="184" t="str">
        <f t="shared" si="26"/>
        <v/>
      </c>
      <c r="AD271" s="184" t="str">
        <f t="shared" si="26"/>
        <v/>
      </c>
      <c r="AE271" s="184" t="str">
        <f t="shared" si="26"/>
        <v/>
      </c>
      <c r="AF271" s="184" t="str">
        <f t="shared" si="26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8790" priority="339">
      <formula>B$9&gt;=20/24</formula>
    </cfRule>
    <cfRule type="expression" dxfId="8789" priority="340">
      <formula>AND(B$9&gt;=14/24,B$9&lt;20/24)</formula>
    </cfRule>
    <cfRule type="expression" dxfId="8788" priority="341">
      <formula>AND(B$9&gt;=8/24,B$9&lt;14/24)</formula>
    </cfRule>
    <cfRule type="expression" dxfId="8787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8786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8785" priority="336">
      <formula>$AH12=0</formula>
    </cfRule>
  </conditionalFormatting>
  <conditionalFormatting sqref="A114">
    <cfRule type="expression" dxfId="8784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8783" priority="333">
      <formula>$AH45=0</formula>
    </cfRule>
  </conditionalFormatting>
  <conditionalFormatting sqref="A98">
    <cfRule type="expression" dxfId="8782" priority="332">
      <formula>$AH98=0</formula>
    </cfRule>
  </conditionalFormatting>
  <conditionalFormatting sqref="A18">
    <cfRule type="expression" dxfId="8781" priority="331">
      <formula>$AH18=0</formula>
    </cfRule>
  </conditionalFormatting>
  <conditionalFormatting sqref="A196:A201">
    <cfRule type="expression" dxfId="8780" priority="330">
      <formula>$AH196=0</formula>
    </cfRule>
  </conditionalFormatting>
  <conditionalFormatting sqref="A190:A195">
    <cfRule type="expression" dxfId="8779" priority="329">
      <formula>$AH190=0</formula>
    </cfRule>
  </conditionalFormatting>
  <conditionalFormatting sqref="A58">
    <cfRule type="expression" dxfId="8778" priority="328">
      <formula>$AH58=0</formula>
    </cfRule>
  </conditionalFormatting>
  <conditionalFormatting sqref="A94">
    <cfRule type="expression" dxfId="8777" priority="327">
      <formula>$AH94=0</formula>
    </cfRule>
  </conditionalFormatting>
  <conditionalFormatting sqref="AE99:AF99 E99:X99">
    <cfRule type="expression" dxfId="8776" priority="323">
      <formula>E$9&gt;=20/24</formula>
    </cfRule>
    <cfRule type="expression" dxfId="8775" priority="324">
      <formula>AND(E$9&gt;=14/24,E$9&lt;20/24)</formula>
    </cfRule>
    <cfRule type="expression" dxfId="8774" priority="325">
      <formula>AND(E$9&gt;=8/24,E$9&lt;14/24)</formula>
    </cfRule>
    <cfRule type="expression" dxfId="8773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772" priority="345">
      <formula>C$9&gt;=20/24</formula>
    </cfRule>
    <cfRule type="expression" dxfId="8771" priority="346">
      <formula>AND(C$9&gt;=14/24,C$9&lt;20/24)</formula>
    </cfRule>
    <cfRule type="expression" dxfId="8770" priority="347">
      <formula>AND(C$9&gt;=8/24,C$9&lt;14/24)</formula>
    </cfRule>
    <cfRule type="expression" dxfId="8769" priority="348">
      <formula>C$9&lt;8/24</formula>
    </cfRule>
  </conditionalFormatting>
  <conditionalFormatting sqref="A233">
    <cfRule type="expression" dxfId="8768" priority="349">
      <formula>$AH233=0</formula>
    </cfRule>
  </conditionalFormatting>
  <conditionalFormatting sqref="AG245">
    <cfRule type="expression" dxfId="8767" priority="350">
      <formula>B$9&gt;=20/24</formula>
    </cfRule>
    <cfRule type="expression" dxfId="8766" priority="351">
      <formula>AND(B$9&gt;=14/24,B$9&lt;20/24)</formula>
    </cfRule>
    <cfRule type="expression" dxfId="8765" priority="352">
      <formula>AND(B$9&gt;=8/24,B$9&lt;14/24)</formula>
    </cfRule>
    <cfRule type="expression" dxfId="8764" priority="353">
      <formula>B$9&lt;8/24</formula>
    </cfRule>
  </conditionalFormatting>
  <conditionalFormatting sqref="S8">
    <cfRule type="expression" dxfId="8763" priority="318">
      <formula>U$9&gt;=20/24</formula>
    </cfRule>
    <cfRule type="expression" dxfId="8762" priority="319">
      <formula>AND(U$9&gt;=14/24,U$9&lt;20/24)</formula>
    </cfRule>
    <cfRule type="expression" dxfId="8761" priority="320">
      <formula>AND(U$9&gt;=8/24,U$9&lt;14/24)</formula>
    </cfRule>
    <cfRule type="expression" dxfId="8760" priority="321">
      <formula>U$9&lt;8/24</formula>
    </cfRule>
  </conditionalFormatting>
  <conditionalFormatting sqref="AB8">
    <cfRule type="expression" dxfId="8759" priority="314">
      <formula>AD$9&gt;=20/24</formula>
    </cfRule>
    <cfRule type="expression" dxfId="8758" priority="315">
      <formula>AND(AD$9&gt;=14/24,AD$9&lt;20/24)</formula>
    </cfRule>
    <cfRule type="expression" dxfId="8757" priority="316">
      <formula>AND(AD$9&gt;=8/24,AD$9&lt;14/24)</formula>
    </cfRule>
    <cfRule type="expression" dxfId="8756" priority="317">
      <formula>AD$9&lt;8/24</formula>
    </cfRule>
  </conditionalFormatting>
  <conditionalFormatting sqref="AH245:AX245">
    <cfRule type="expression" dxfId="8755" priority="354">
      <formula>AG$9&gt;=20/24</formula>
    </cfRule>
    <cfRule type="expression" dxfId="8754" priority="355">
      <formula>AND(AG$9&gt;=14/24,AG$9&lt;20/24)</formula>
    </cfRule>
    <cfRule type="expression" dxfId="8753" priority="356">
      <formula>AND(AG$9&gt;=8/24,AG$9&lt;14/24)</formula>
    </cfRule>
    <cfRule type="expression" dxfId="8752" priority="357">
      <formula>AG$9&lt;8/24</formula>
    </cfRule>
  </conditionalFormatting>
  <conditionalFormatting sqref="T245">
    <cfRule type="expression" dxfId="8751" priority="358">
      <formula>AX$9&gt;=20/24</formula>
    </cfRule>
    <cfRule type="expression" dxfId="8750" priority="359">
      <formula>AND(AX$9&gt;=14/24,AX$9&lt;20/24)</formula>
    </cfRule>
    <cfRule type="expression" dxfId="8749" priority="360">
      <formula>AND(AX$9&gt;=8/24,AX$9&lt;14/24)</formula>
    </cfRule>
    <cfRule type="expression" dxfId="8748" priority="361">
      <formula>AX$9&lt;8/24</formula>
    </cfRule>
  </conditionalFormatting>
  <conditionalFormatting sqref="A115:A116">
    <cfRule type="expression" dxfId="8747" priority="313">
      <formula>$AH115=0</formula>
    </cfRule>
  </conditionalFormatting>
  <conditionalFormatting sqref="AE54:AF55 E71:AF71">
    <cfRule type="expression" dxfId="8746" priority="309">
      <formula>E$9&gt;=20/24</formula>
    </cfRule>
    <cfRule type="expression" dxfId="8745" priority="310">
      <formula>AND(E$9&gt;=14/24,E$9&lt;20/24)</formula>
    </cfRule>
    <cfRule type="expression" dxfId="8744" priority="311">
      <formula>AND(E$9&gt;=8/24,E$9&lt;14/24)</formula>
    </cfRule>
    <cfRule type="expression" dxfId="8743" priority="312">
      <formula>E$9&lt;8/24</formula>
    </cfRule>
  </conditionalFormatting>
  <conditionalFormatting sqref="N53:Q53 AE53:AF53">
    <cfRule type="expression" dxfId="8742" priority="305">
      <formula>N$9&gt;=20/24</formula>
    </cfRule>
    <cfRule type="expression" dxfId="8741" priority="306">
      <formula>AND(N$9&gt;=14/24,N$9&lt;20/24)</formula>
    </cfRule>
    <cfRule type="expression" dxfId="8740" priority="307">
      <formula>AND(N$9&gt;=8/24,N$9&lt;14/24)</formula>
    </cfRule>
    <cfRule type="expression" dxfId="8739" priority="308">
      <formula>N$9&lt;8/24</formula>
    </cfRule>
  </conditionalFormatting>
  <conditionalFormatting sqref="N53:Q53 AE53:AF55">
    <cfRule type="expression" dxfId="8738" priority="304">
      <formula>N53&gt;$AG53</formula>
    </cfRule>
  </conditionalFormatting>
  <conditionalFormatting sqref="D86:AF86 X96:AF96 AE100:AF106 X47:AF47 M100:X106 E72:Y73 Z72:AF74">
    <cfRule type="expression" dxfId="8737" priority="300">
      <formula>D$9&gt;=20/24</formula>
    </cfRule>
    <cfRule type="expression" dxfId="8736" priority="301">
      <formula>AND(D$9&gt;=14/24,D$9&lt;20/24)</formula>
    </cfRule>
    <cfRule type="expression" dxfId="8735" priority="302">
      <formula>AND(D$9&gt;=8/24,D$9&lt;14/24)</formula>
    </cfRule>
    <cfRule type="expression" dxfId="8734" priority="303">
      <formula>D$9&lt;8/24</formula>
    </cfRule>
  </conditionalFormatting>
  <conditionalFormatting sqref="X47:AF47">
    <cfRule type="expression" dxfId="8733" priority="299">
      <formula>X47&gt;$AG47</formula>
    </cfRule>
  </conditionalFormatting>
  <conditionalFormatting sqref="R53:AD58 AE56:AF58">
    <cfRule type="expression" dxfId="8732" priority="295">
      <formula>R$9&gt;=20/24</formula>
    </cfRule>
    <cfRule type="expression" dxfId="8731" priority="296">
      <formula>AND(R$9&gt;=14/24,R$9&lt;20/24)</formula>
    </cfRule>
    <cfRule type="expression" dxfId="8730" priority="297">
      <formula>AND(R$9&gt;=8/24,R$9&lt;14/24)</formula>
    </cfRule>
    <cfRule type="expression" dxfId="8729" priority="298">
      <formula>R$9&lt;8/24</formula>
    </cfRule>
  </conditionalFormatting>
  <conditionalFormatting sqref="R53:AD58 AE56:AF58">
    <cfRule type="expression" dxfId="8728" priority="294">
      <formula>R53&gt;$AG53</formula>
    </cfRule>
  </conditionalFormatting>
  <conditionalFormatting sqref="C97:AF97 D88:AF88">
    <cfRule type="expression" dxfId="8727" priority="290">
      <formula>C$9&gt;=20/24</formula>
    </cfRule>
    <cfRule type="expression" dxfId="8726" priority="291">
      <formula>AND(C$9&gt;=14/24,C$9&lt;20/24)</formula>
    </cfRule>
    <cfRule type="expression" dxfId="8725" priority="292">
      <formula>AND(C$9&gt;=8/24,C$9&lt;14/24)</formula>
    </cfRule>
    <cfRule type="expression" dxfId="8724" priority="293">
      <formula>C$9&lt;8/24</formula>
    </cfRule>
  </conditionalFormatting>
  <conditionalFormatting sqref="T47:W47">
    <cfRule type="expression" dxfId="8723" priority="286">
      <formula>T$9&gt;=20/24</formula>
    </cfRule>
    <cfRule type="expression" dxfId="8722" priority="287">
      <formula>AND(T$9&gt;=14/24,T$9&lt;20/24)</formula>
    </cfRule>
    <cfRule type="expression" dxfId="8721" priority="288">
      <formula>AND(T$9&gt;=8/24,T$9&lt;14/24)</formula>
    </cfRule>
    <cfRule type="expression" dxfId="8720" priority="289">
      <formula>T$9&lt;8/24</formula>
    </cfRule>
  </conditionalFormatting>
  <conditionalFormatting sqref="T47:W47">
    <cfRule type="expression" dxfId="8719" priority="285">
      <formula>T47&gt;$AG47</formula>
    </cfRule>
  </conditionalFormatting>
  <conditionalFormatting sqref="E54:Q55">
    <cfRule type="expression" dxfId="8718" priority="281">
      <formula>E$9&gt;=20/24</formula>
    </cfRule>
    <cfRule type="expression" dxfId="8717" priority="282">
      <formula>AND(E$9&gt;=14/24,E$9&lt;20/24)</formula>
    </cfRule>
    <cfRule type="expression" dxfId="8716" priority="283">
      <formula>AND(E$9&gt;=8/24,E$9&lt;14/24)</formula>
    </cfRule>
    <cfRule type="expression" dxfId="8715" priority="284">
      <formula>E$9&lt;8/24</formula>
    </cfRule>
  </conditionalFormatting>
  <conditionalFormatting sqref="E53:M53">
    <cfRule type="expression" dxfId="8714" priority="277">
      <formula>E$9&gt;=20/24</formula>
    </cfRule>
    <cfRule type="expression" dxfId="8713" priority="278">
      <formula>AND(E$9&gt;=14/24,E$9&lt;20/24)</formula>
    </cfRule>
    <cfRule type="expression" dxfId="8712" priority="279">
      <formula>AND(E$9&gt;=8/24,E$9&lt;14/24)</formula>
    </cfRule>
    <cfRule type="expression" dxfId="8711" priority="280">
      <formula>E$9&lt;8/24</formula>
    </cfRule>
  </conditionalFormatting>
  <conditionalFormatting sqref="E53:M55 N54:Q55">
    <cfRule type="expression" dxfId="8710" priority="276">
      <formula>E53&gt;$AG53</formula>
    </cfRule>
  </conditionalFormatting>
  <conditionalFormatting sqref="AG70 AG87 E100:L106 R67:AF69">
    <cfRule type="expression" dxfId="8709" priority="272">
      <formula>E$9&gt;=20/24</formula>
    </cfRule>
    <cfRule type="expression" dxfId="8708" priority="273">
      <formula>AND(E$9&gt;=14/24,E$9&lt;20/24)</formula>
    </cfRule>
    <cfRule type="expression" dxfId="8707" priority="274">
      <formula>AND(E$9&gt;=8/24,E$9&lt;14/24)</formula>
    </cfRule>
    <cfRule type="expression" dxfId="8706" priority="275">
      <formula>E$9&lt;8/24</formula>
    </cfRule>
  </conditionalFormatting>
  <conditionalFormatting sqref="AG48 AG66 AG70 R67:AF69">
    <cfRule type="expression" dxfId="8705" priority="271">
      <formula>R48&gt;$AG48</formula>
    </cfRule>
  </conditionalFormatting>
  <conditionalFormatting sqref="A43">
    <cfRule type="expression" dxfId="8704" priority="265">
      <formula>$AH43=0</formula>
    </cfRule>
  </conditionalFormatting>
  <conditionalFormatting sqref="X91:AF95">
    <cfRule type="expression" dxfId="8703" priority="261">
      <formula>X$9&gt;=20/24</formula>
    </cfRule>
    <cfRule type="expression" dxfId="8702" priority="262">
      <formula>AND(X$9&gt;=14/24,X$9&lt;20/24)</formula>
    </cfRule>
    <cfRule type="expression" dxfId="8701" priority="263">
      <formula>AND(X$9&gt;=8/24,X$9&lt;14/24)</formula>
    </cfRule>
    <cfRule type="expression" dxfId="8700" priority="264">
      <formula>X$9&lt;8/24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8699" priority="257">
      <formula>E$9&gt;=20/24</formula>
    </cfRule>
    <cfRule type="expression" dxfId="8698" priority="258">
      <formula>AND(E$9&gt;=14/24,E$9&lt;20/24)</formula>
    </cfRule>
    <cfRule type="expression" dxfId="8697" priority="259">
      <formula>AND(E$9&gt;=8/24,E$9&lt;14/24)</formula>
    </cfRule>
    <cfRule type="expression" dxfId="8696" priority="260">
      <formula>E$9&lt;8/24</formula>
    </cfRule>
  </conditionalFormatting>
  <conditionalFormatting sqref="E49:AF51">
    <cfRule type="expression" dxfId="8695" priority="256">
      <formula>E49&gt;$AG49</formula>
    </cfRule>
  </conditionalFormatting>
  <conditionalFormatting sqref="AG52">
    <cfRule type="expression" dxfId="8694" priority="252">
      <formula>AG$9&gt;=20/24</formula>
    </cfRule>
    <cfRule type="expression" dxfId="8693" priority="253">
      <formula>AND(AG$9&gt;=14/24,AG$9&lt;20/24)</formula>
    </cfRule>
    <cfRule type="expression" dxfId="8692" priority="254">
      <formula>AND(AG$9&gt;=8/24,AG$9&lt;14/24)</formula>
    </cfRule>
    <cfRule type="expression" dxfId="8691" priority="255">
      <formula>AG$9&lt;8/24</formula>
    </cfRule>
  </conditionalFormatting>
  <conditionalFormatting sqref="AG52">
    <cfRule type="expression" dxfId="8690" priority="251">
      <formula>AG52&gt;$AG52</formula>
    </cfRule>
  </conditionalFormatting>
  <conditionalFormatting sqref="C107:AF107">
    <cfRule type="expression" dxfId="8689" priority="247">
      <formula>C$9&gt;=20/24</formula>
    </cfRule>
    <cfRule type="expression" dxfId="8688" priority="248">
      <formula>AND(C$9&gt;=14/24,C$9&lt;20/24)</formula>
    </cfRule>
    <cfRule type="expression" dxfId="8687" priority="249">
      <formula>AND(C$9&gt;=8/24,C$9&lt;14/24)</formula>
    </cfRule>
    <cfRule type="expression" dxfId="8686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8685" priority="245">
      <formula>$AH40=0</formula>
    </cfRule>
  </conditionalFormatting>
  <conditionalFormatting sqref="A90">
    <cfRule type="expression" dxfId="8684" priority="243">
      <formula>$AH90=0</formula>
    </cfRule>
  </conditionalFormatting>
  <conditionalFormatting sqref="A87">
    <cfRule type="expression" dxfId="8683" priority="244">
      <formula>$AH87=0</formula>
    </cfRule>
  </conditionalFormatting>
  <conditionalFormatting sqref="D110:AF110">
    <cfRule type="expression" dxfId="8682" priority="239">
      <formula>D$9&gt;=20/24</formula>
    </cfRule>
    <cfRule type="expression" dxfId="8681" priority="240">
      <formula>AND(D$9&gt;=14/24,D$9&lt;20/24)</formula>
    </cfRule>
    <cfRule type="expression" dxfId="8680" priority="241">
      <formula>AND(D$9&gt;=8/24,D$9&lt;14/24)</formula>
    </cfRule>
    <cfRule type="expression" dxfId="8679" priority="242">
      <formula>D$9&lt;8/24</formula>
    </cfRule>
  </conditionalFormatting>
  <conditionalFormatting sqref="A110">
    <cfRule type="expression" dxfId="8678" priority="238">
      <formula>$AH110=0</formula>
    </cfRule>
  </conditionalFormatting>
  <conditionalFormatting sqref="A21">
    <cfRule type="expression" dxfId="8677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8676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D99">
    <cfRule type="expression" dxfId="8675" priority="230">
      <formula>Y$9&gt;=20/24</formula>
    </cfRule>
    <cfRule type="expression" dxfId="8674" priority="231">
      <formula>AND(Y$9&gt;=14/24,Y$9&lt;20/24)</formula>
    </cfRule>
    <cfRule type="expression" dxfId="8673" priority="232">
      <formula>AND(Y$9&gt;=8/24,Y$9&lt;14/24)</formula>
    </cfRule>
    <cfRule type="expression" dxfId="8672" priority="233">
      <formula>Y$9&lt;8/24</formula>
    </cfRule>
  </conditionalFormatting>
  <conditionalFormatting sqref="Y100:AD106">
    <cfRule type="expression" dxfId="8671" priority="226">
      <formula>Y$9&gt;=20/24</formula>
    </cfRule>
    <cfRule type="expression" dxfId="8670" priority="227">
      <formula>AND(Y$9&gt;=14/24,Y$9&lt;20/24)</formula>
    </cfRule>
    <cfRule type="expression" dxfId="8669" priority="228">
      <formula>AND(Y$9&gt;=8/24,Y$9&lt;14/24)</formula>
    </cfRule>
    <cfRule type="expression" dxfId="8668" priority="229">
      <formula>Y$9&lt;8/24</formula>
    </cfRule>
  </conditionalFormatting>
  <conditionalFormatting sqref="Z34:AF43 Z17:AF32">
    <cfRule type="expression" dxfId="8667" priority="222">
      <formula>Z$9&gt;=20/24</formula>
    </cfRule>
    <cfRule type="expression" dxfId="8666" priority="223">
      <formula>AND(Z$9&gt;=14/24,Z$9&lt;20/24)</formula>
    </cfRule>
    <cfRule type="expression" dxfId="8665" priority="224">
      <formula>AND(Z$9&gt;=8/24,Z$9&lt;14/24)</formula>
    </cfRule>
    <cfRule type="expression" dxfId="8664" priority="225">
      <formula>Z$9&lt;8/24</formula>
    </cfRule>
  </conditionalFormatting>
  <conditionalFormatting sqref="C47:S47">
    <cfRule type="expression" dxfId="8663" priority="218">
      <formula>C$9&gt;=20/24</formula>
    </cfRule>
    <cfRule type="expression" dxfId="8662" priority="219">
      <formula>AND(C$9&gt;=14/24,C$9&lt;20/24)</formula>
    </cfRule>
    <cfRule type="expression" dxfId="8661" priority="220">
      <formula>AND(C$9&gt;=8/24,C$9&lt;14/24)</formula>
    </cfRule>
    <cfRule type="expression" dxfId="8660" priority="221">
      <formula>C$9&lt;8/24</formula>
    </cfRule>
  </conditionalFormatting>
  <conditionalFormatting sqref="C47:S47 Z34:AF43 Z17:AF32">
    <cfRule type="expression" dxfId="8659" priority="217">
      <formula>C17&gt;$AG17</formula>
    </cfRule>
  </conditionalFormatting>
  <conditionalFormatting sqref="D99">
    <cfRule type="expression" dxfId="8658" priority="213">
      <formula>D$9&gt;=20/24</formula>
    </cfRule>
    <cfRule type="expression" dxfId="8657" priority="214">
      <formula>AND(D$9&gt;=14/24,D$9&lt;20/24)</formula>
    </cfRule>
    <cfRule type="expression" dxfId="8656" priority="215">
      <formula>AND(D$9&gt;=8/24,D$9&lt;14/24)</formula>
    </cfRule>
    <cfRule type="expression" dxfId="8655" priority="216">
      <formula>D$9&lt;8/24</formula>
    </cfRule>
  </conditionalFormatting>
  <conditionalFormatting sqref="C86 C96:W96 C83:AF85 D100:D106 I67:Q69 E74:Y76 Z75:AF76">
    <cfRule type="expression" dxfId="8654" priority="209">
      <formula>C$9&gt;=20/24</formula>
    </cfRule>
    <cfRule type="expression" dxfId="8653" priority="210">
      <formula>AND(C$9&gt;=14/24,C$9&lt;20/24)</formula>
    </cfRule>
    <cfRule type="expression" dxfId="8652" priority="211">
      <formula>AND(C$9&gt;=8/24,C$9&lt;14/24)</formula>
    </cfRule>
    <cfRule type="expression" dxfId="8651" priority="212">
      <formula>C$9&lt;8/24</formula>
    </cfRule>
  </conditionalFormatting>
  <conditionalFormatting sqref="E56:Q57 I67:Q69">
    <cfRule type="expression" dxfId="8650" priority="208">
      <formula>E56&gt;$AG56</formula>
    </cfRule>
  </conditionalFormatting>
  <conditionalFormatting sqref="J58:Q58">
    <cfRule type="expression" dxfId="8649" priority="204">
      <formula>J$9&gt;=20/24</formula>
    </cfRule>
    <cfRule type="expression" dxfId="8648" priority="205">
      <formula>AND(J$9&gt;=14/24,J$9&lt;20/24)</formula>
    </cfRule>
    <cfRule type="expression" dxfId="8647" priority="206">
      <formula>AND(J$9&gt;=8/24,J$9&lt;14/24)</formula>
    </cfRule>
    <cfRule type="expression" dxfId="8646" priority="207">
      <formula>J$9&lt;8/24</formula>
    </cfRule>
  </conditionalFormatting>
  <conditionalFormatting sqref="J58:Q58">
    <cfRule type="expression" dxfId="8645" priority="203">
      <formula>J58&gt;$AG58</formula>
    </cfRule>
  </conditionalFormatting>
  <conditionalFormatting sqref="B54:D57 B71:D71">
    <cfRule type="expression" dxfId="8644" priority="132">
      <formula>B$9&gt;=20/24</formula>
    </cfRule>
    <cfRule type="expression" dxfId="8643" priority="133">
      <formula>AND(B$9&gt;=14/24,B$9&lt;20/24)</formula>
    </cfRule>
    <cfRule type="expression" dxfId="8642" priority="134">
      <formula>AND(B$9&gt;=8/24,B$9&lt;14/24)</formula>
    </cfRule>
    <cfRule type="expression" dxfId="8641" priority="135">
      <formula>B$9&lt;8/24</formula>
    </cfRule>
  </conditionalFormatting>
  <conditionalFormatting sqref="C87:AF87 C89:AF89 C98:AF98 L70:AF70">
    <cfRule type="expression" dxfId="8640" priority="199">
      <formula>C$9&gt;=20/24</formula>
    </cfRule>
    <cfRule type="expression" dxfId="8639" priority="200">
      <formula>AND(C$9&gt;=14/24,C$9&lt;20/24)</formula>
    </cfRule>
    <cfRule type="expression" dxfId="8638" priority="201">
      <formula>AND(C$9&gt;=8/24,C$9&lt;14/24)</formula>
    </cfRule>
    <cfRule type="expression" dxfId="8637" priority="202">
      <formula>C$9&lt;8/24</formula>
    </cfRule>
  </conditionalFormatting>
  <conditionalFormatting sqref="L70:AF70 C48:AF48 C65:AF66">
    <cfRule type="expression" dxfId="8636" priority="198">
      <formula>C48&gt;$AG48</formula>
    </cfRule>
  </conditionalFormatting>
  <conditionalFormatting sqref="C82:AF82">
    <cfRule type="expression" dxfId="8635" priority="194">
      <formula>C$9&gt;=20/24</formula>
    </cfRule>
    <cfRule type="expression" dxfId="8634" priority="195">
      <formula>AND(C$9&gt;=14/24,C$9&lt;20/24)</formula>
    </cfRule>
    <cfRule type="expression" dxfId="8633" priority="196">
      <formula>AND(C$9&gt;=8/24,C$9&lt;14/24)</formula>
    </cfRule>
    <cfRule type="expression" dxfId="8632" priority="197">
      <formula>C$9&lt;8/24</formula>
    </cfRule>
  </conditionalFormatting>
  <conditionalFormatting sqref="C91:W95">
    <cfRule type="expression" dxfId="8631" priority="190">
      <formula>C$9&gt;=20/24</formula>
    </cfRule>
    <cfRule type="expression" dxfId="8630" priority="191">
      <formula>AND(C$9&gt;=14/24,C$9&lt;20/24)</formula>
    </cfRule>
    <cfRule type="expression" dxfId="8629" priority="192">
      <formula>AND(C$9&gt;=8/24,C$9&lt;14/24)</formula>
    </cfRule>
    <cfRule type="expression" dxfId="8628" priority="193">
      <formula>C$9&lt;8/24</formula>
    </cfRule>
  </conditionalFormatting>
  <conditionalFormatting sqref="C52:AF52">
    <cfRule type="expression" dxfId="8627" priority="186">
      <formula>C$9&gt;=20/24</formula>
    </cfRule>
    <cfRule type="expression" dxfId="8626" priority="187">
      <formula>AND(C$9&gt;=14/24,C$9&lt;20/24)</formula>
    </cfRule>
    <cfRule type="expression" dxfId="8625" priority="188">
      <formula>AND(C$9&gt;=8/24,C$9&lt;14/24)</formula>
    </cfRule>
    <cfRule type="expression" dxfId="8624" priority="189">
      <formula>C$9&lt;8/24</formula>
    </cfRule>
  </conditionalFormatting>
  <conditionalFormatting sqref="C52:AF52">
    <cfRule type="expression" dxfId="8623" priority="185">
      <formula>C52&gt;$AG52</formula>
    </cfRule>
  </conditionalFormatting>
  <conditionalFormatting sqref="B49:D51">
    <cfRule type="expression" dxfId="8622" priority="100">
      <formula>B$9&gt;=20/24</formula>
    </cfRule>
    <cfRule type="expression" dxfId="8621" priority="101">
      <formula>AND(B$9&gt;=14/24,B$9&lt;20/24)</formula>
    </cfRule>
    <cfRule type="expression" dxfId="8620" priority="102">
      <formula>AND(B$9&gt;=8/24,B$9&lt;14/24)</formula>
    </cfRule>
    <cfRule type="expression" dxfId="8619" priority="103">
      <formula>B$9&lt;8/24</formula>
    </cfRule>
  </conditionalFormatting>
  <conditionalFormatting sqref="L59:Q60 R59:AF64">
    <cfRule type="expression" dxfId="8618" priority="173">
      <formula>L$9&gt;=20/24</formula>
    </cfRule>
    <cfRule type="expression" dxfId="8617" priority="174">
      <formula>AND(L$9&gt;=14/24,L$9&lt;20/24)</formula>
    </cfRule>
    <cfRule type="expression" dxfId="8616" priority="175">
      <formula>AND(L$9&gt;=8/24,L$9&lt;14/24)</formula>
    </cfRule>
    <cfRule type="expression" dxfId="8615" priority="176">
      <formula>L$9&lt;8/24</formula>
    </cfRule>
  </conditionalFormatting>
  <conditionalFormatting sqref="L59:Q60 R59:AF64">
    <cfRule type="expression" dxfId="8614" priority="172">
      <formula>L59&gt;$AG59</formula>
    </cfRule>
  </conditionalFormatting>
  <conditionalFormatting sqref="Z45:AF45 Z13:AF15">
    <cfRule type="expression" dxfId="8613" priority="171">
      <formula>Z13&gt;$AG13</formula>
    </cfRule>
  </conditionalFormatting>
  <conditionalFormatting sqref="Z12:AF12">
    <cfRule type="expression" dxfId="8612" priority="167">
      <formula>Z$9&gt;=20/24</formula>
    </cfRule>
    <cfRule type="expression" dxfId="8611" priority="168">
      <formula>AND(Z$9&gt;=14/24,Z$9&lt;20/24)</formula>
    </cfRule>
    <cfRule type="expression" dxfId="8610" priority="169">
      <formula>AND(Z$9&gt;=8/24,Z$9&lt;14/24)</formula>
    </cfRule>
    <cfRule type="expression" dxfId="8609" priority="170">
      <formula>Z$9&lt;8/24</formula>
    </cfRule>
  </conditionalFormatting>
  <conditionalFormatting sqref="Z12:AF12">
    <cfRule type="expression" dxfId="8608" priority="166">
      <formula>Z12&gt;$AG12</formula>
    </cfRule>
  </conditionalFormatting>
  <conditionalFormatting sqref="Z13:AF15">
    <cfRule type="expression" dxfId="8607" priority="162">
      <formula>Z$9&gt;=20/24</formula>
    </cfRule>
    <cfRule type="expression" dxfId="8606" priority="163">
      <formula>AND(Z$9&gt;=14/24,Z$9&lt;20/24)</formula>
    </cfRule>
    <cfRule type="expression" dxfId="8605" priority="164">
      <formula>AND(Z$9&gt;=8/24,Z$9&lt;14/24)</formula>
    </cfRule>
    <cfRule type="expression" dxfId="8604" priority="165">
      <formula>Z$9&lt;8/24</formula>
    </cfRule>
  </conditionalFormatting>
  <conditionalFormatting sqref="Z45:AF45">
    <cfRule type="expression" dxfId="8603" priority="158">
      <formula>Z$9&gt;=20/24</formula>
    </cfRule>
    <cfRule type="expression" dxfId="8602" priority="159">
      <formula>AND(Z$9&gt;=14/24,Z$9&lt;20/24)</formula>
    </cfRule>
    <cfRule type="expression" dxfId="8601" priority="160">
      <formula>AND(Z$9&gt;=8/24,Z$9&lt;14/24)</formula>
    </cfRule>
    <cfRule type="expression" dxfId="8600" priority="161">
      <formula>Z$9&lt;8/24</formula>
    </cfRule>
  </conditionalFormatting>
  <conditionalFormatting sqref="R78:AF81">
    <cfRule type="expression" dxfId="8599" priority="154">
      <formula>R$9&gt;=20/24</formula>
    </cfRule>
    <cfRule type="expression" dxfId="8598" priority="155">
      <formula>AND(R$9&gt;=14/24,R$9&lt;20/24)</formula>
    </cfRule>
    <cfRule type="expression" dxfId="8597" priority="156">
      <formula>AND(R$9&gt;=8/24,R$9&lt;14/24)</formula>
    </cfRule>
    <cfRule type="expression" dxfId="8596" priority="157">
      <formula>R$9&lt;8/24</formula>
    </cfRule>
  </conditionalFormatting>
  <conditionalFormatting sqref="AL78:AN78 AL84:AN84 AN79:AN80">
    <cfRule type="expression" dxfId="8595" priority="150">
      <formula>AL$9&gt;=20/24</formula>
    </cfRule>
    <cfRule type="expression" dxfId="8594" priority="151">
      <formula>AND(AL$9&gt;=14/24,AL$9&lt;20/24)</formula>
    </cfRule>
    <cfRule type="expression" dxfId="8593" priority="152">
      <formula>AND(AL$9&gt;=8/24,AL$9&lt;14/24)</formula>
    </cfRule>
    <cfRule type="expression" dxfId="8592" priority="153">
      <formula>AL$9&lt;8/24</formula>
    </cfRule>
  </conditionalFormatting>
  <conditionalFormatting sqref="AN81:AN82">
    <cfRule type="expression" dxfId="8591" priority="146">
      <formula>AN$9&gt;=20/24</formula>
    </cfRule>
    <cfRule type="expression" dxfId="8590" priority="147">
      <formula>AND(AN$9&gt;=14/24,AN$9&lt;20/24)</formula>
    </cfRule>
    <cfRule type="expression" dxfId="8589" priority="148">
      <formula>AND(AN$9&gt;=8/24,AN$9&lt;14/24)</formula>
    </cfRule>
    <cfRule type="expression" dxfId="8588" priority="149">
      <formula>AN$9&lt;8/24</formula>
    </cfRule>
  </conditionalFormatting>
  <conditionalFormatting sqref="AL79:AM83">
    <cfRule type="expression" dxfId="8587" priority="363">
      <formula>AJ$9&gt;=20/24</formula>
    </cfRule>
    <cfRule type="expression" dxfId="8586" priority="364">
      <formula>AND(AJ$9&gt;=14/24,AJ$9&lt;20/24)</formula>
    </cfRule>
    <cfRule type="expression" dxfId="8585" priority="365">
      <formula>AND(AJ$9&gt;=8/24,AJ$9&lt;14/24)</formula>
    </cfRule>
    <cfRule type="expression" dxfId="8584" priority="366">
      <formula>AJ$9&lt;8/24</formula>
    </cfRule>
  </conditionalFormatting>
  <conditionalFormatting sqref="A117">
    <cfRule type="expression" dxfId="8583" priority="145">
      <formula>$AH117=0</formula>
    </cfRule>
  </conditionalFormatting>
  <conditionalFormatting sqref="B109:C109 B111:C116 B12:Y15 B17:Y32 B34:Y43 B45:Y45">
    <cfRule type="expression" dxfId="8582" priority="141">
      <formula>B$9&gt;=20/24</formula>
    </cfRule>
    <cfRule type="expression" dxfId="8581" priority="142">
      <formula>AND(B$9&gt;=14/24,B$9&lt;20/24)</formula>
    </cfRule>
    <cfRule type="expression" dxfId="8580" priority="143">
      <formula>AND(B$9&gt;=8/24,B$9&lt;14/24)</formula>
    </cfRule>
    <cfRule type="expression" dxfId="8579" priority="144">
      <formula>B$9&lt;8/24</formula>
    </cfRule>
  </conditionalFormatting>
  <conditionalFormatting sqref="B12:Y15 B17:Y32 B34:Y43 B45:Y45">
    <cfRule type="expression" dxfId="8578" priority="140">
      <formula>B12&gt;$AG12</formula>
    </cfRule>
  </conditionalFormatting>
  <conditionalFormatting sqref="B99:C99">
    <cfRule type="expression" dxfId="8577" priority="136">
      <formula>B$9&gt;=20/24</formula>
    </cfRule>
    <cfRule type="expression" dxfId="8576" priority="137">
      <formula>AND(B$9&gt;=14/24,B$9&lt;20/24)</formula>
    </cfRule>
    <cfRule type="expression" dxfId="8575" priority="138">
      <formula>AND(B$9&gt;=8/24,B$9&lt;14/24)</formula>
    </cfRule>
    <cfRule type="expression" dxfId="8574" priority="139">
      <formula>B$9&lt;8/24</formula>
    </cfRule>
  </conditionalFormatting>
  <conditionalFormatting sqref="B53:D53">
    <cfRule type="expression" dxfId="8573" priority="128">
      <formula>B$9&gt;=20/24</formula>
    </cfRule>
    <cfRule type="expression" dxfId="8572" priority="129">
      <formula>AND(B$9&gt;=14/24,B$9&lt;20/24)</formula>
    </cfRule>
    <cfRule type="expression" dxfId="8571" priority="130">
      <formula>AND(B$9&gt;=8/24,B$9&lt;14/24)</formula>
    </cfRule>
    <cfRule type="expression" dxfId="8570" priority="131">
      <formula>B$9&lt;8/24</formula>
    </cfRule>
  </conditionalFormatting>
  <conditionalFormatting sqref="B53:D57">
    <cfRule type="expression" dxfId="8569" priority="127">
      <formula>B53&gt;$AG53</formula>
    </cfRule>
  </conditionalFormatting>
  <conditionalFormatting sqref="B96 B86 B47 B100:C106 B72:D74 B67:H69">
    <cfRule type="expression" dxfId="8568" priority="123">
      <formula>B$9&gt;=20/24</formula>
    </cfRule>
    <cfRule type="expression" dxfId="8567" priority="124">
      <formula>AND(B$9&gt;=14/24,B$9&lt;20/24)</formula>
    </cfRule>
    <cfRule type="expression" dxfId="8566" priority="125">
      <formula>AND(B$9&gt;=8/24,B$9&lt;14/24)</formula>
    </cfRule>
    <cfRule type="expression" dxfId="8565" priority="126">
      <formula>B$9&lt;8/24</formula>
    </cfRule>
  </conditionalFormatting>
  <conditionalFormatting sqref="B47 B67:H69">
    <cfRule type="expression" dxfId="8564" priority="122">
      <formula>B47&gt;$AG47</formula>
    </cfRule>
  </conditionalFormatting>
  <conditionalFormatting sqref="B97 B88:C88">
    <cfRule type="expression" dxfId="8563" priority="118">
      <formula>B$9&gt;=20/24</formula>
    </cfRule>
    <cfRule type="expression" dxfId="8562" priority="119">
      <formula>AND(B$9&gt;=14/24,B$9&lt;20/24)</formula>
    </cfRule>
    <cfRule type="expression" dxfId="8561" priority="120">
      <formula>AND(B$9&gt;=8/24,B$9&lt;14/24)</formula>
    </cfRule>
    <cfRule type="expression" dxfId="8560" priority="121">
      <formula>B$9&lt;8/24</formula>
    </cfRule>
  </conditionalFormatting>
  <conditionalFormatting sqref="B46:AF46">
    <cfRule type="expression" dxfId="8559" priority="114">
      <formula>B$9&gt;=20/24</formula>
    </cfRule>
    <cfRule type="expression" dxfId="8558" priority="115">
      <formula>AND(B$9&gt;=14/24,B$9&lt;20/24)</formula>
    </cfRule>
    <cfRule type="expression" dxfId="8557" priority="116">
      <formula>AND(B$9&gt;=8/24,B$9&lt;14/24)</formula>
    </cfRule>
    <cfRule type="expression" dxfId="8556" priority="117">
      <formula>B$9&lt;8/24</formula>
    </cfRule>
  </conditionalFormatting>
  <conditionalFormatting sqref="B46:AF46">
    <cfRule type="expression" dxfId="8555" priority="113">
      <formula>B46&gt;$AG46</formula>
    </cfRule>
  </conditionalFormatting>
  <conditionalFormatting sqref="B58:I58">
    <cfRule type="expression" dxfId="8554" priority="109">
      <formula>B$9&gt;=20/24</formula>
    </cfRule>
    <cfRule type="expression" dxfId="8553" priority="110">
      <formula>AND(B$9&gt;=14/24,B$9&lt;20/24)</formula>
    </cfRule>
    <cfRule type="expression" dxfId="8552" priority="111">
      <formula>AND(B$9&gt;=8/24,B$9&lt;14/24)</formula>
    </cfRule>
    <cfRule type="expression" dxfId="8551" priority="112">
      <formula>B$9&lt;8/24</formula>
    </cfRule>
  </conditionalFormatting>
  <conditionalFormatting sqref="B58:I58">
    <cfRule type="expression" dxfId="8550" priority="108">
      <formula>B58&gt;$AG58</formula>
    </cfRule>
  </conditionalFormatting>
  <conditionalFormatting sqref="B91:B95">
    <cfRule type="expression" dxfId="8549" priority="104">
      <formula>B$9&gt;=20/24</formula>
    </cfRule>
    <cfRule type="expression" dxfId="8548" priority="105">
      <formula>AND(B$9&gt;=14/24,B$9&lt;20/24)</formula>
    </cfRule>
    <cfRule type="expression" dxfId="8547" priority="106">
      <formula>AND(B$9&gt;=8/24,B$9&lt;14/24)</formula>
    </cfRule>
    <cfRule type="expression" dxfId="8546" priority="107">
      <formula>B$9&lt;8/24</formula>
    </cfRule>
  </conditionalFormatting>
  <conditionalFormatting sqref="B49:D51">
    <cfRule type="expression" dxfId="8545" priority="99">
      <formula>B49&gt;$AG49</formula>
    </cfRule>
  </conditionalFormatting>
  <conditionalFormatting sqref="B107">
    <cfRule type="expression" dxfId="8544" priority="95">
      <formula>B$9&gt;=20/24</formula>
    </cfRule>
    <cfRule type="expression" dxfId="8543" priority="96">
      <formula>AND(B$9&gt;=14/24,B$9&lt;20/24)</formula>
    </cfRule>
    <cfRule type="expression" dxfId="8542" priority="97">
      <formula>AND(B$9&gt;=8/24,B$9&lt;14/24)</formula>
    </cfRule>
    <cfRule type="expression" dxfId="8541" priority="98">
      <formula>B$9&lt;8/24</formula>
    </cfRule>
  </conditionalFormatting>
  <conditionalFormatting sqref="B110:C110">
    <cfRule type="expression" dxfId="8540" priority="91">
      <formula>B$9&gt;=20/24</formula>
    </cfRule>
    <cfRule type="expression" dxfId="8539" priority="92">
      <formula>AND(B$9&gt;=14/24,B$9&lt;20/24)</formula>
    </cfRule>
    <cfRule type="expression" dxfId="8538" priority="93">
      <formula>AND(B$9&gt;=8/24,B$9&lt;14/24)</formula>
    </cfRule>
    <cfRule type="expression" dxfId="8537" priority="94">
      <formula>B$9&lt;8/24</formula>
    </cfRule>
  </conditionalFormatting>
  <conditionalFormatting sqref="B83:B85 B75:D76">
    <cfRule type="expression" dxfId="8536" priority="87">
      <formula>B$9&gt;=20/24</formula>
    </cfRule>
    <cfRule type="expression" dxfId="8535" priority="88">
      <formula>AND(B$9&gt;=14/24,B$9&lt;20/24)</formula>
    </cfRule>
    <cfRule type="expression" dxfId="8534" priority="89">
      <formula>AND(B$9&gt;=8/24,B$9&lt;14/24)</formula>
    </cfRule>
    <cfRule type="expression" dxfId="8533" priority="90">
      <formula>B$9&lt;8/24</formula>
    </cfRule>
  </conditionalFormatting>
  <conditionalFormatting sqref="B89 B98 B87 B70:K70">
    <cfRule type="expression" dxfId="8532" priority="83">
      <formula>B$9&gt;=20/24</formula>
    </cfRule>
    <cfRule type="expression" dxfId="8531" priority="84">
      <formula>AND(B$9&gt;=14/24,B$9&lt;20/24)</formula>
    </cfRule>
    <cfRule type="expression" dxfId="8530" priority="85">
      <formula>AND(B$9&gt;=8/24,B$9&lt;14/24)</formula>
    </cfRule>
    <cfRule type="expression" dxfId="8529" priority="86">
      <formula>B$9&lt;8/24</formula>
    </cfRule>
  </conditionalFormatting>
  <conditionalFormatting sqref="B48 B65:B66 B70:K70">
    <cfRule type="expression" dxfId="8528" priority="82">
      <formula>B48&gt;$AG48</formula>
    </cfRule>
  </conditionalFormatting>
  <conditionalFormatting sqref="B82">
    <cfRule type="expression" dxfId="8527" priority="78">
      <formula>B$9&gt;=20/24</formula>
    </cfRule>
    <cfRule type="expression" dxfId="8526" priority="79">
      <formula>AND(B$9&gt;=14/24,B$9&lt;20/24)</formula>
    </cfRule>
    <cfRule type="expression" dxfId="8525" priority="80">
      <formula>AND(B$9&gt;=8/24,B$9&lt;14/24)</formula>
    </cfRule>
    <cfRule type="expression" dxfId="8524" priority="81">
      <formula>B$9&lt;8/24</formula>
    </cfRule>
  </conditionalFormatting>
  <conditionalFormatting sqref="B52">
    <cfRule type="expression" dxfId="8523" priority="74">
      <formula>B$9&gt;=20/24</formula>
    </cfRule>
    <cfRule type="expression" dxfId="8522" priority="75">
      <formula>AND(B$9&gt;=14/24,B$9&lt;20/24)</formula>
    </cfRule>
    <cfRule type="expression" dxfId="8521" priority="76">
      <formula>AND(B$9&gt;=8/24,B$9&lt;14/24)</formula>
    </cfRule>
    <cfRule type="expression" dxfId="8520" priority="77">
      <formula>B$9&lt;8/24</formula>
    </cfRule>
  </conditionalFormatting>
  <conditionalFormatting sqref="B52">
    <cfRule type="expression" dxfId="8519" priority="73">
      <formula>B52&gt;$AG52</formula>
    </cfRule>
  </conditionalFormatting>
  <conditionalFormatting sqref="B59:K64 L61:Q64">
    <cfRule type="expression" dxfId="8518" priority="65">
      <formula>B$9&gt;=20/24</formula>
    </cfRule>
    <cfRule type="expression" dxfId="8517" priority="66">
      <formula>AND(B$9&gt;=14/24,B$9&lt;20/24)</formula>
    </cfRule>
    <cfRule type="expression" dxfId="8516" priority="67">
      <formula>AND(B$9&gt;=8/24,B$9&lt;14/24)</formula>
    </cfRule>
    <cfRule type="expression" dxfId="8515" priority="68">
      <formula>B$9&lt;8/24</formula>
    </cfRule>
  </conditionalFormatting>
  <conditionalFormatting sqref="B59:K64 L61:Q64">
    <cfRule type="expression" dxfId="8514" priority="64">
      <formula>B59&gt;$AG59</formula>
    </cfRule>
  </conditionalFormatting>
  <conditionalFormatting sqref="B78:Q81 B77:AF77">
    <cfRule type="expression" dxfId="8513" priority="60">
      <formula>B$9&gt;=20/24</formula>
    </cfRule>
    <cfRule type="expression" dxfId="8512" priority="61">
      <formula>AND(B$9&gt;=14/24,B$9&lt;20/24)</formula>
    </cfRule>
    <cfRule type="expression" dxfId="8511" priority="62">
      <formula>AND(B$9&gt;=8/24,B$9&lt;14/24)</formula>
    </cfRule>
    <cfRule type="expression" dxfId="8510" priority="63">
      <formula>B$9&lt;8/24</formula>
    </cfRule>
  </conditionalFormatting>
  <conditionalFormatting sqref="A11">
    <cfRule type="expression" dxfId="8509" priority="59">
      <formula>$AH11=0</formula>
    </cfRule>
  </conditionalFormatting>
  <conditionalFormatting sqref="Z11:AF11">
    <cfRule type="expression" dxfId="8508" priority="55">
      <formula>Z$9&gt;=20/24</formula>
    </cfRule>
    <cfRule type="expression" dxfId="8507" priority="56">
      <formula>AND(Z$9&gt;=14/24,Z$9&lt;20/24)</formula>
    </cfRule>
    <cfRule type="expression" dxfId="8506" priority="57">
      <formula>AND(Z$9&gt;=8/24,Z$9&lt;14/24)</formula>
    </cfRule>
    <cfRule type="expression" dxfId="8505" priority="58">
      <formula>Z$9&lt;8/24</formula>
    </cfRule>
  </conditionalFormatting>
  <conditionalFormatting sqref="Z11:AF11">
    <cfRule type="expression" dxfId="8504" priority="54">
      <formula>Z11&gt;$AG11</formula>
    </cfRule>
  </conditionalFormatting>
  <conditionalFormatting sqref="B11:Y11">
    <cfRule type="expression" dxfId="8503" priority="50">
      <formula>B$9&gt;=20/24</formula>
    </cfRule>
    <cfRule type="expression" dxfId="8502" priority="51">
      <formula>AND(B$9&gt;=14/24,B$9&lt;20/24)</formula>
    </cfRule>
    <cfRule type="expression" dxfId="8501" priority="52">
      <formula>AND(B$9&gt;=8/24,B$9&lt;14/24)</formula>
    </cfRule>
    <cfRule type="expression" dxfId="8500" priority="53">
      <formula>B$9&lt;8/24</formula>
    </cfRule>
  </conditionalFormatting>
  <conditionalFormatting sqref="B11:Y11">
    <cfRule type="expression" dxfId="8499" priority="49">
      <formula>B11&gt;$AG11</formula>
    </cfRule>
  </conditionalFormatting>
  <conditionalFormatting sqref="A16">
    <cfRule type="expression" dxfId="8498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8497" priority="43">
      <formula>Z$9&gt;=20/24</formula>
    </cfRule>
    <cfRule type="expression" dxfId="8496" priority="44">
      <formula>AND(Z$9&gt;=14/24,Z$9&lt;20/24)</formula>
    </cfRule>
    <cfRule type="expression" dxfId="8495" priority="45">
      <formula>AND(Z$9&gt;=8/24,Z$9&lt;14/24)</formula>
    </cfRule>
    <cfRule type="expression" dxfId="8494" priority="46">
      <formula>Z$9&lt;8/24</formula>
    </cfRule>
  </conditionalFormatting>
  <conditionalFormatting sqref="Z16:AF16">
    <cfRule type="expression" dxfId="8493" priority="42">
      <formula>Z16&gt;$AG16</formula>
    </cfRule>
  </conditionalFormatting>
  <conditionalFormatting sqref="B16:Y16">
    <cfRule type="expression" dxfId="8492" priority="38">
      <formula>B$9&gt;=20/24</formula>
    </cfRule>
    <cfRule type="expression" dxfId="8491" priority="39">
      <formula>AND(B$9&gt;=14/24,B$9&lt;20/24)</formula>
    </cfRule>
    <cfRule type="expression" dxfId="8490" priority="40">
      <formula>AND(B$9&gt;=8/24,B$9&lt;14/24)</formula>
    </cfRule>
    <cfRule type="expression" dxfId="8489" priority="41">
      <formula>B$9&lt;8/24</formula>
    </cfRule>
  </conditionalFormatting>
  <conditionalFormatting sqref="B16:Y16">
    <cfRule type="expression" dxfId="8488" priority="37">
      <formula>B16&gt;$AG16</formula>
    </cfRule>
  </conditionalFormatting>
  <conditionalFormatting sqref="A33">
    <cfRule type="expression" dxfId="8487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8486" priority="31">
      <formula>Z$9&gt;=20/24</formula>
    </cfRule>
    <cfRule type="expression" dxfId="8485" priority="32">
      <formula>AND(Z$9&gt;=14/24,Z$9&lt;20/24)</formula>
    </cfRule>
    <cfRule type="expression" dxfId="8484" priority="33">
      <formula>AND(Z$9&gt;=8/24,Z$9&lt;14/24)</formula>
    </cfRule>
    <cfRule type="expression" dxfId="8483" priority="34">
      <formula>Z$9&lt;8/24</formula>
    </cfRule>
  </conditionalFormatting>
  <conditionalFormatting sqref="Z33:AF33">
    <cfRule type="expression" dxfId="8482" priority="30">
      <formula>Z33&gt;$AG33</formula>
    </cfRule>
  </conditionalFormatting>
  <conditionalFormatting sqref="B33:Y33">
    <cfRule type="expression" dxfId="8481" priority="26">
      <formula>B$9&gt;=20/24</formula>
    </cfRule>
    <cfRule type="expression" dxfId="8480" priority="27">
      <formula>AND(B$9&gt;=14/24,B$9&lt;20/24)</formula>
    </cfRule>
    <cfRule type="expression" dxfId="8479" priority="28">
      <formula>AND(B$9&gt;=8/24,B$9&lt;14/24)</formula>
    </cfRule>
    <cfRule type="expression" dxfId="8478" priority="29">
      <formula>B$9&lt;8/24</formula>
    </cfRule>
  </conditionalFormatting>
  <conditionalFormatting sqref="B33:Y33">
    <cfRule type="expression" dxfId="8477" priority="25">
      <formula>B33&gt;$AG33</formula>
    </cfRule>
  </conditionalFormatting>
  <conditionalFormatting sqref="A44">
    <cfRule type="expression" dxfId="8476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8475" priority="22">
      <formula>Z44&gt;$AG44</formula>
    </cfRule>
  </conditionalFormatting>
  <conditionalFormatting sqref="Z44:AF44">
    <cfRule type="expression" dxfId="8474" priority="18">
      <formula>Z$9&gt;=20/24</formula>
    </cfRule>
    <cfRule type="expression" dxfId="8473" priority="19">
      <formula>AND(Z$9&gt;=14/24,Z$9&lt;20/24)</formula>
    </cfRule>
    <cfRule type="expression" dxfId="8472" priority="20">
      <formula>AND(Z$9&gt;=8/24,Z$9&lt;14/24)</formula>
    </cfRule>
    <cfRule type="expression" dxfId="8471" priority="21">
      <formula>Z$9&lt;8/24</formula>
    </cfRule>
  </conditionalFormatting>
  <conditionalFormatting sqref="B44:Y44">
    <cfRule type="expression" dxfId="8470" priority="14">
      <formula>B$9&gt;=20/24</formula>
    </cfRule>
    <cfRule type="expression" dxfId="8469" priority="15">
      <formula>AND(B$9&gt;=14/24,B$9&lt;20/24)</formula>
    </cfRule>
    <cfRule type="expression" dxfId="8468" priority="16">
      <formula>AND(B$9&gt;=8/24,B$9&lt;14/24)</formula>
    </cfRule>
    <cfRule type="expression" dxfId="8467" priority="17">
      <formula>B$9&lt;8/24</formula>
    </cfRule>
  </conditionalFormatting>
  <conditionalFormatting sqref="B44:Y44">
    <cfRule type="expression" dxfId="8466" priority="13">
      <formula>B44&gt;$AG44</formula>
    </cfRule>
  </conditionalFormatting>
  <conditionalFormatting sqref="B117:C117">
    <cfRule type="expression" dxfId="8465" priority="1">
      <formula>B$9&gt;=20/24</formula>
    </cfRule>
    <cfRule type="expression" dxfId="8464" priority="2">
      <formula>AND(B$9&gt;=14/24,B$9&lt;20/24)</formula>
    </cfRule>
    <cfRule type="expression" dxfId="8463" priority="3">
      <formula>AND(B$9&gt;=8/24,B$9&lt;14/24)</formula>
    </cfRule>
    <cfRule type="expression" dxfId="8462" priority="4">
      <formula>B$9&lt;8/24</formula>
    </cfRule>
  </conditionalFormatting>
  <conditionalFormatting sqref="D117:AF117">
    <cfRule type="expression" dxfId="8461" priority="9">
      <formula>D$9&gt;=20/24</formula>
    </cfRule>
    <cfRule type="expression" dxfId="8460" priority="10">
      <formula>AND(D$9&gt;=14/24,D$9&lt;20/24)</formula>
    </cfRule>
    <cfRule type="expression" dxfId="8459" priority="11">
      <formula>AND(D$9&gt;=8/24,D$9&lt;14/24)</formula>
    </cfRule>
    <cfRule type="expression" dxfId="8458" priority="12">
      <formula>D$9&lt;8/24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EB81491E-1464-4304-BC1C-FA9E35C1D9F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26E56235-63DD-4DD9-BDA8-3592FE953B6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FC732036-4E4C-49DF-B617-906E3C3B806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3AF846AA-3886-4369-A8F9-721F3216258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98B006E4-2F0B-41E9-BC14-FE91A74BEEA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F5783CE9-5963-42BD-AC37-63D236E42BC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06A79991-AFD6-4408-8D9D-3D6908DE01F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0A5B5F51-0B3E-4B0A-B5D1-A4CC1CB2416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Normal="100" workbookViewId="0">
      <pane ySplit="10" topLeftCell="A92" activePane="bottomLeft" state="frozen"/>
      <selection activeCell="Z85" sqref="Z85"/>
      <selection pane="bottomLeft" activeCell="AD112" sqref="AD112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5" width="6.85546875" style="2" customWidth="1"/>
    <col min="26" max="26" width="8.570312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2079/12/5</v>
      </c>
      <c r="C4" s="236"/>
      <c r="D4" s="236"/>
      <c r="E4" s="237" t="str">
        <f ca="1">"2079/"&amp;"12/"&amp;INT(MID(CELL("filename",G6),FIND("]",CELL("filename",G6))+1,200))</f>
        <v>2079/12/5</v>
      </c>
      <c r="F4" s="237"/>
      <c r="G4" s="237"/>
      <c r="H4" s="237" t="str">
        <f ca="1">TEXT(E4,"dddd")</f>
        <v>Tuesday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629.80000000000007</v>
      </c>
      <c r="C5" s="33">
        <f t="shared" si="0"/>
        <v>621.5</v>
      </c>
      <c r="D5" s="33">
        <f t="shared" si="0"/>
        <v>663.69999999999993</v>
      </c>
      <c r="E5" s="33">
        <f t="shared" si="0"/>
        <v>651.09999999999991</v>
      </c>
      <c r="F5" s="33">
        <f t="shared" si="0"/>
        <v>563.6</v>
      </c>
      <c r="G5" s="33">
        <f t="shared" si="0"/>
        <v>592.1</v>
      </c>
      <c r="H5" s="33">
        <f t="shared" si="0"/>
        <v>562.4</v>
      </c>
      <c r="I5" s="33">
        <f t="shared" si="0"/>
        <v>590</v>
      </c>
      <c r="J5" s="33">
        <f t="shared" si="0"/>
        <v>615.70000000000005</v>
      </c>
      <c r="K5" s="33">
        <f t="shared" si="0"/>
        <v>615.80000000000007</v>
      </c>
      <c r="L5" s="33">
        <f t="shared" si="0"/>
        <v>650.79999999999995</v>
      </c>
      <c r="M5" s="33">
        <f t="shared" si="0"/>
        <v>625.70000000000005</v>
      </c>
      <c r="N5" s="33">
        <f t="shared" si="0"/>
        <v>650.40000000000009</v>
      </c>
      <c r="O5" s="33">
        <f t="shared" si="0"/>
        <v>666.40000000000009</v>
      </c>
      <c r="P5" s="33">
        <f t="shared" si="0"/>
        <v>715.19999999999993</v>
      </c>
      <c r="Q5" s="33">
        <f t="shared" si="0"/>
        <v>723.1</v>
      </c>
      <c r="R5" s="33">
        <f t="shared" si="0"/>
        <v>724.69999999999993</v>
      </c>
      <c r="S5" s="33">
        <f t="shared" si="0"/>
        <v>674.6</v>
      </c>
      <c r="T5" s="33">
        <f t="shared" si="0"/>
        <v>674</v>
      </c>
      <c r="U5" s="33">
        <f t="shared" si="0"/>
        <v>613.29999999999995</v>
      </c>
      <c r="V5" s="33">
        <f t="shared" si="0"/>
        <v>615</v>
      </c>
      <c r="W5" s="33">
        <f t="shared" si="0"/>
        <v>612.6</v>
      </c>
      <c r="X5" s="33">
        <f t="shared" si="0"/>
        <v>612.6</v>
      </c>
      <c r="Y5" s="33">
        <f t="shared" si="0"/>
        <v>464.4</v>
      </c>
      <c r="Z5" s="33">
        <f t="shared" si="0"/>
        <v>269.5</v>
      </c>
      <c r="AA5" s="33">
        <f t="shared" si="0"/>
        <v>401.9</v>
      </c>
      <c r="AB5" s="33">
        <f t="shared" si="0"/>
        <v>441.8</v>
      </c>
      <c r="AC5" s="33">
        <f t="shared" si="0"/>
        <v>490.5</v>
      </c>
      <c r="AD5" s="33">
        <f t="shared" si="0"/>
        <v>407.1</v>
      </c>
      <c r="AE5" s="33">
        <f t="shared" si="0"/>
        <v>388</v>
      </c>
      <c r="AF5" s="33">
        <f>B82</f>
        <v>585.29999999999995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1436MW at 8:00hr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Load=1100</v>
      </c>
      <c r="B7" s="38">
        <f t="shared" ref="B7:AF7" si="1">B89</f>
        <v>1363.6399999999999</v>
      </c>
      <c r="C7" s="38">
        <f t="shared" si="1"/>
        <v>1108.54</v>
      </c>
      <c r="D7" s="38">
        <f t="shared" si="1"/>
        <v>1100.24</v>
      </c>
      <c r="E7" s="38">
        <f t="shared" si="1"/>
        <v>1162.9399999999998</v>
      </c>
      <c r="F7" s="38">
        <f t="shared" si="1"/>
        <v>1179.1399999999999</v>
      </c>
      <c r="G7" s="38">
        <f t="shared" si="1"/>
        <v>1195.2399999999998</v>
      </c>
      <c r="H7" s="38">
        <f t="shared" si="1"/>
        <v>1217.7399999999998</v>
      </c>
      <c r="I7" s="38">
        <f t="shared" si="1"/>
        <v>1148.04</v>
      </c>
      <c r="J7" s="38">
        <f t="shared" si="1"/>
        <v>1287.7399999999998</v>
      </c>
      <c r="K7" s="38">
        <f t="shared" si="1"/>
        <v>1314.6399999999999</v>
      </c>
      <c r="L7" s="38">
        <f t="shared" si="1"/>
        <v>1412.7399999999998</v>
      </c>
      <c r="M7" s="38">
        <f t="shared" si="1"/>
        <v>1435.6399999999999</v>
      </c>
      <c r="N7" s="38">
        <f>N89</f>
        <v>1417.04</v>
      </c>
      <c r="O7" s="38">
        <f t="shared" si="1"/>
        <v>1453.3400000000001</v>
      </c>
      <c r="P7" s="38">
        <f t="shared" si="1"/>
        <v>1498.3400000000001</v>
      </c>
      <c r="Q7" s="38">
        <f t="shared" si="1"/>
        <v>1558.3399999999997</v>
      </c>
      <c r="R7" s="38">
        <f t="shared" si="1"/>
        <v>1540.7399999999998</v>
      </c>
      <c r="S7" s="38">
        <f t="shared" si="1"/>
        <v>1542.3399999999997</v>
      </c>
      <c r="T7" s="38">
        <f t="shared" si="1"/>
        <v>1492.2399999999998</v>
      </c>
      <c r="U7" s="38">
        <f t="shared" si="1"/>
        <v>1570.04</v>
      </c>
      <c r="V7" s="38">
        <f t="shared" si="1"/>
        <v>1453.6399999999999</v>
      </c>
      <c r="W7" s="38">
        <f t="shared" si="1"/>
        <v>1401.34</v>
      </c>
      <c r="X7" s="38">
        <f t="shared" si="1"/>
        <v>1424.44</v>
      </c>
      <c r="Y7" s="38">
        <f t="shared" si="1"/>
        <v>1430.54</v>
      </c>
      <c r="Z7" s="38">
        <f t="shared" si="1"/>
        <v>1717.6399999999999</v>
      </c>
      <c r="AA7" s="38">
        <f t="shared" si="1"/>
        <v>1457.84</v>
      </c>
      <c r="AB7" s="38">
        <f t="shared" si="1"/>
        <v>1518.2399999999998</v>
      </c>
      <c r="AC7" s="38">
        <f t="shared" si="1"/>
        <v>1280.04</v>
      </c>
      <c r="AD7" s="38">
        <f t="shared" si="1"/>
        <v>1245.6399999999999</v>
      </c>
      <c r="AE7" s="38">
        <f t="shared" si="1"/>
        <v>1320.8400000000001</v>
      </c>
      <c r="AF7" s="38">
        <f t="shared" si="1"/>
        <v>1340.6399999999999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23</v>
      </c>
      <c r="C11" s="50">
        <v>23</v>
      </c>
      <c r="D11" s="50">
        <v>23</v>
      </c>
      <c r="E11" s="50">
        <v>23</v>
      </c>
      <c r="F11" s="50">
        <v>23</v>
      </c>
      <c r="G11" s="50">
        <v>23</v>
      </c>
      <c r="H11" s="50">
        <v>23</v>
      </c>
      <c r="I11" s="50">
        <v>23</v>
      </c>
      <c r="J11" s="50">
        <v>23</v>
      </c>
      <c r="K11" s="50">
        <v>23</v>
      </c>
      <c r="L11" s="50">
        <v>23</v>
      </c>
      <c r="M11" s="50">
        <v>23</v>
      </c>
      <c r="N11" s="50">
        <v>23</v>
      </c>
      <c r="O11" s="50">
        <v>23</v>
      </c>
      <c r="P11" s="50">
        <v>23</v>
      </c>
      <c r="Q11" s="50">
        <v>23</v>
      </c>
      <c r="R11" s="50">
        <v>23</v>
      </c>
      <c r="S11" s="50">
        <v>23</v>
      </c>
      <c r="T11" s="50">
        <v>23</v>
      </c>
      <c r="U11" s="50">
        <v>23</v>
      </c>
      <c r="V11" s="50">
        <v>23</v>
      </c>
      <c r="W11" s="50">
        <v>23</v>
      </c>
      <c r="X11" s="50">
        <v>23</v>
      </c>
      <c r="Y11" s="50">
        <v>23</v>
      </c>
      <c r="Z11" s="50">
        <v>23</v>
      </c>
      <c r="AA11" s="50">
        <v>23</v>
      </c>
      <c r="AB11" s="50">
        <v>23</v>
      </c>
      <c r="AC11" s="50">
        <v>23</v>
      </c>
      <c r="AD11" s="50">
        <v>23</v>
      </c>
      <c r="AE11" s="50">
        <v>23</v>
      </c>
      <c r="AF11" s="50">
        <v>23</v>
      </c>
      <c r="AG11" s="51">
        <v>86</v>
      </c>
      <c r="AH11" s="52">
        <f t="shared" ref="AH11:AH74" si="2">MAX(B11:AF11)</f>
        <v>23</v>
      </c>
      <c r="AI11" s="53">
        <f t="shared" ref="AI11:AI74" si="3">MIN(B11:AF11)</f>
        <v>23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16.2</v>
      </c>
      <c r="C12" s="50">
        <v>16.2</v>
      </c>
      <c r="D12" s="50">
        <v>16.2</v>
      </c>
      <c r="E12" s="50">
        <v>13</v>
      </c>
      <c r="F12" s="50">
        <v>13</v>
      </c>
      <c r="G12" s="50">
        <v>14</v>
      </c>
      <c r="H12" s="50">
        <v>14</v>
      </c>
      <c r="I12" s="50">
        <v>14</v>
      </c>
      <c r="J12" s="50">
        <v>14</v>
      </c>
      <c r="K12" s="50">
        <v>14</v>
      </c>
      <c r="L12" s="50">
        <v>14</v>
      </c>
      <c r="M12" s="50">
        <v>15.5</v>
      </c>
      <c r="N12" s="50">
        <v>15.5</v>
      </c>
      <c r="O12" s="50">
        <v>15.5</v>
      </c>
      <c r="P12" s="50">
        <v>14.5</v>
      </c>
      <c r="Q12" s="50">
        <v>14.5</v>
      </c>
      <c r="R12" s="50">
        <v>14.5</v>
      </c>
      <c r="S12" s="50">
        <v>14.5</v>
      </c>
      <c r="T12" s="50">
        <v>14.5</v>
      </c>
      <c r="U12" s="50">
        <v>14.5</v>
      </c>
      <c r="V12" s="50">
        <v>14.5</v>
      </c>
      <c r="W12" s="50">
        <v>14.5</v>
      </c>
      <c r="X12" s="50">
        <v>14.5</v>
      </c>
      <c r="Y12" s="50">
        <v>14.5</v>
      </c>
      <c r="Z12" s="50">
        <v>14.5</v>
      </c>
      <c r="AA12" s="50">
        <v>14.5</v>
      </c>
      <c r="AB12" s="50">
        <v>14.5</v>
      </c>
      <c r="AC12" s="50">
        <v>14.5</v>
      </c>
      <c r="AD12" s="50">
        <v>14.5</v>
      </c>
      <c r="AE12" s="50">
        <v>14.5</v>
      </c>
      <c r="AF12" s="50">
        <v>14.5</v>
      </c>
      <c r="AG12" s="51">
        <v>52.4</v>
      </c>
      <c r="AH12" s="52">
        <f t="shared" si="2"/>
        <v>16.2</v>
      </c>
      <c r="AI12" s="53">
        <f t="shared" si="3"/>
        <v>13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35.6</v>
      </c>
      <c r="C13" s="50">
        <v>35.6</v>
      </c>
      <c r="D13" s="50">
        <v>35.6</v>
      </c>
      <c r="E13" s="50">
        <v>39.5</v>
      </c>
      <c r="F13" s="50">
        <v>39.5</v>
      </c>
      <c r="G13" s="50">
        <v>41.8</v>
      </c>
      <c r="H13" s="50">
        <v>41.8</v>
      </c>
      <c r="I13" s="50">
        <v>41.8</v>
      </c>
      <c r="J13" s="50">
        <v>41.8</v>
      </c>
      <c r="K13" s="50">
        <v>41.8</v>
      </c>
      <c r="L13" s="50">
        <v>41.8</v>
      </c>
      <c r="M13" s="50">
        <v>42</v>
      </c>
      <c r="N13" s="50">
        <v>41.7</v>
      </c>
      <c r="O13" s="50">
        <v>41.7</v>
      </c>
      <c r="P13" s="50">
        <v>39</v>
      </c>
      <c r="Q13" s="50">
        <v>39</v>
      </c>
      <c r="R13" s="50">
        <v>39</v>
      </c>
      <c r="S13" s="50">
        <v>39</v>
      </c>
      <c r="T13" s="50">
        <v>39</v>
      </c>
      <c r="U13" s="50">
        <v>39</v>
      </c>
      <c r="V13" s="50">
        <v>39</v>
      </c>
      <c r="W13" s="50">
        <v>39</v>
      </c>
      <c r="X13" s="50">
        <v>39</v>
      </c>
      <c r="Y13" s="50">
        <v>39</v>
      </c>
      <c r="Z13" s="50">
        <v>39</v>
      </c>
      <c r="AA13" s="50">
        <v>39</v>
      </c>
      <c r="AB13" s="50">
        <v>39</v>
      </c>
      <c r="AC13" s="50">
        <v>39</v>
      </c>
      <c r="AD13" s="50">
        <v>39</v>
      </c>
      <c r="AE13" s="50">
        <v>39</v>
      </c>
      <c r="AF13" s="50">
        <v>39</v>
      </c>
      <c r="AG13" s="55">
        <v>50</v>
      </c>
      <c r="AH13" s="52">
        <f t="shared" si="2"/>
        <v>42</v>
      </c>
      <c r="AI13" s="53">
        <f t="shared" si="3"/>
        <v>35.6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15.3</v>
      </c>
      <c r="C14" s="50">
        <v>15.3</v>
      </c>
      <c r="D14" s="50">
        <v>15.3</v>
      </c>
      <c r="E14" s="50">
        <v>18.5</v>
      </c>
      <c r="F14" s="50">
        <v>18.5</v>
      </c>
      <c r="G14" s="50">
        <v>17</v>
      </c>
      <c r="H14" s="50">
        <v>17</v>
      </c>
      <c r="I14" s="50">
        <v>17</v>
      </c>
      <c r="J14" s="50">
        <v>17</v>
      </c>
      <c r="K14" s="50">
        <v>17</v>
      </c>
      <c r="L14" s="50">
        <v>17</v>
      </c>
      <c r="M14" s="50">
        <v>17</v>
      </c>
      <c r="N14" s="50">
        <v>16.8</v>
      </c>
      <c r="O14" s="50">
        <v>16.8</v>
      </c>
      <c r="P14" s="50">
        <v>16.3</v>
      </c>
      <c r="Q14" s="50">
        <v>16.3</v>
      </c>
      <c r="R14" s="50">
        <v>16.3</v>
      </c>
      <c r="S14" s="50">
        <v>16.3</v>
      </c>
      <c r="T14" s="50">
        <v>16.3</v>
      </c>
      <c r="U14" s="50">
        <v>16.3</v>
      </c>
      <c r="V14" s="50">
        <v>16.3</v>
      </c>
      <c r="W14" s="50">
        <v>16.3</v>
      </c>
      <c r="X14" s="50">
        <v>16.3</v>
      </c>
      <c r="Y14" s="50">
        <v>16.3</v>
      </c>
      <c r="Z14" s="50">
        <v>16.3</v>
      </c>
      <c r="AA14" s="50">
        <v>16.3</v>
      </c>
      <c r="AB14" s="50">
        <v>16.3</v>
      </c>
      <c r="AC14" s="50">
        <v>16.3</v>
      </c>
      <c r="AD14" s="50">
        <v>16.3</v>
      </c>
      <c r="AE14" s="50">
        <v>16.3</v>
      </c>
      <c r="AF14" s="50">
        <v>16.3</v>
      </c>
      <c r="AG14" s="55">
        <v>45</v>
      </c>
      <c r="AH14" s="52">
        <f t="shared" si="2"/>
        <v>18.5</v>
      </c>
      <c r="AI14" s="53">
        <f t="shared" si="3"/>
        <v>15.3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10.5</v>
      </c>
      <c r="C15" s="50">
        <v>10.5</v>
      </c>
      <c r="D15" s="50">
        <v>10.5</v>
      </c>
      <c r="E15" s="50">
        <v>13</v>
      </c>
      <c r="F15" s="50">
        <v>13</v>
      </c>
      <c r="G15" s="50">
        <v>11.5</v>
      </c>
      <c r="H15" s="50">
        <v>11.5</v>
      </c>
      <c r="I15" s="50">
        <v>11.5</v>
      </c>
      <c r="J15" s="50">
        <v>11.5</v>
      </c>
      <c r="K15" s="50">
        <v>11.5</v>
      </c>
      <c r="L15" s="50">
        <v>11.5</v>
      </c>
      <c r="M15" s="50">
        <v>11.5</v>
      </c>
      <c r="N15" s="50">
        <v>11.5</v>
      </c>
      <c r="O15" s="50">
        <v>11.5</v>
      </c>
      <c r="P15" s="50">
        <v>11.5</v>
      </c>
      <c r="Q15" s="50">
        <v>11.5</v>
      </c>
      <c r="R15" s="50">
        <v>11.5</v>
      </c>
      <c r="S15" s="50">
        <v>11.5</v>
      </c>
      <c r="T15" s="50">
        <v>11.5</v>
      </c>
      <c r="U15" s="50">
        <v>11.5</v>
      </c>
      <c r="V15" s="50">
        <v>11.5</v>
      </c>
      <c r="W15" s="50">
        <v>11.5</v>
      </c>
      <c r="X15" s="50">
        <v>11.5</v>
      </c>
      <c r="Y15" s="50">
        <v>11.5</v>
      </c>
      <c r="Z15" s="50">
        <v>11.5</v>
      </c>
      <c r="AA15" s="50">
        <v>11.5</v>
      </c>
      <c r="AB15" s="50">
        <v>11.5</v>
      </c>
      <c r="AC15" s="50">
        <v>11.5</v>
      </c>
      <c r="AD15" s="50">
        <v>11.5</v>
      </c>
      <c r="AE15" s="50">
        <v>11.5</v>
      </c>
      <c r="AF15" s="50">
        <v>11.5</v>
      </c>
      <c r="AG15" s="55">
        <v>42</v>
      </c>
      <c r="AH15" s="52">
        <f t="shared" si="2"/>
        <v>13</v>
      </c>
      <c r="AI15" s="53">
        <f t="shared" si="3"/>
        <v>10.5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14</v>
      </c>
      <c r="C16" s="50">
        <v>14</v>
      </c>
      <c r="D16" s="50">
        <v>14</v>
      </c>
      <c r="E16" s="50">
        <v>14</v>
      </c>
      <c r="F16" s="50">
        <v>14</v>
      </c>
      <c r="G16" s="50">
        <v>14</v>
      </c>
      <c r="H16" s="50">
        <v>14</v>
      </c>
      <c r="I16" s="50">
        <v>14</v>
      </c>
      <c r="J16" s="50">
        <v>14</v>
      </c>
      <c r="K16" s="50">
        <v>14</v>
      </c>
      <c r="L16" s="50">
        <v>14</v>
      </c>
      <c r="M16" s="50">
        <v>14</v>
      </c>
      <c r="N16" s="50">
        <v>14</v>
      </c>
      <c r="O16" s="50">
        <v>14</v>
      </c>
      <c r="P16" s="50">
        <v>14</v>
      </c>
      <c r="Q16" s="50">
        <v>14</v>
      </c>
      <c r="R16" s="50">
        <v>14</v>
      </c>
      <c r="S16" s="50">
        <v>14</v>
      </c>
      <c r="T16" s="50">
        <v>14</v>
      </c>
      <c r="U16" s="50">
        <v>14</v>
      </c>
      <c r="V16" s="50">
        <v>14</v>
      </c>
      <c r="W16" s="50">
        <v>14</v>
      </c>
      <c r="X16" s="50">
        <v>14</v>
      </c>
      <c r="Y16" s="50">
        <v>14</v>
      </c>
      <c r="Z16" s="50">
        <v>14</v>
      </c>
      <c r="AA16" s="50">
        <v>14</v>
      </c>
      <c r="AB16" s="50">
        <v>14</v>
      </c>
      <c r="AC16" s="50">
        <v>14</v>
      </c>
      <c r="AD16" s="50">
        <v>14</v>
      </c>
      <c r="AE16" s="50">
        <v>14</v>
      </c>
      <c r="AF16" s="50">
        <v>14</v>
      </c>
      <c r="AG16" s="55">
        <v>36</v>
      </c>
      <c r="AH16" s="52">
        <f t="shared" si="2"/>
        <v>14</v>
      </c>
      <c r="AI16" s="53">
        <f t="shared" si="3"/>
        <v>14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10.4</v>
      </c>
      <c r="C18" s="50">
        <v>10.4</v>
      </c>
      <c r="D18" s="50">
        <v>10.4</v>
      </c>
      <c r="E18" s="50">
        <v>11</v>
      </c>
      <c r="F18" s="50">
        <v>11</v>
      </c>
      <c r="G18" s="50">
        <v>11</v>
      </c>
      <c r="H18" s="50">
        <v>11</v>
      </c>
      <c r="I18" s="50">
        <v>11</v>
      </c>
      <c r="J18" s="50">
        <v>11</v>
      </c>
      <c r="K18" s="50">
        <v>11</v>
      </c>
      <c r="L18" s="50">
        <v>11</v>
      </c>
      <c r="M18" s="50">
        <v>11.2</v>
      </c>
      <c r="N18" s="50">
        <v>11.2</v>
      </c>
      <c r="O18" s="50">
        <v>11.2</v>
      </c>
      <c r="P18" s="50">
        <v>10.6</v>
      </c>
      <c r="Q18" s="50">
        <v>10.6</v>
      </c>
      <c r="R18" s="50">
        <v>10.6</v>
      </c>
      <c r="S18" s="50">
        <v>10.6</v>
      </c>
      <c r="T18" s="50">
        <v>10.6</v>
      </c>
      <c r="U18" s="50">
        <v>10.6</v>
      </c>
      <c r="V18" s="50">
        <v>10.6</v>
      </c>
      <c r="W18" s="50">
        <v>10.6</v>
      </c>
      <c r="X18" s="50">
        <v>10.6</v>
      </c>
      <c r="Y18" s="50">
        <v>10.6</v>
      </c>
      <c r="Z18" s="50">
        <v>10.6</v>
      </c>
      <c r="AA18" s="50">
        <v>10.6</v>
      </c>
      <c r="AB18" s="50">
        <v>10.6</v>
      </c>
      <c r="AC18" s="50">
        <v>10.6</v>
      </c>
      <c r="AD18" s="50">
        <v>10.6</v>
      </c>
      <c r="AE18" s="50">
        <v>10.6</v>
      </c>
      <c r="AF18" s="50">
        <v>10.6</v>
      </c>
      <c r="AG18" s="56">
        <v>30</v>
      </c>
      <c r="AH18" s="52">
        <f t="shared" si="2"/>
        <v>11.2</v>
      </c>
      <c r="AI18" s="53">
        <f t="shared" si="3"/>
        <v>10.4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6.6</v>
      </c>
      <c r="C19" s="50">
        <v>6.6</v>
      </c>
      <c r="D19" s="50">
        <v>6.6</v>
      </c>
      <c r="E19" s="50">
        <v>6.6</v>
      </c>
      <c r="F19" s="50">
        <v>6.6</v>
      </c>
      <c r="G19" s="50">
        <v>7.3</v>
      </c>
      <c r="H19" s="50">
        <v>7.3</v>
      </c>
      <c r="I19" s="50">
        <v>7.3</v>
      </c>
      <c r="J19" s="50">
        <v>7.3</v>
      </c>
      <c r="K19" s="50">
        <v>7.3</v>
      </c>
      <c r="L19" s="50">
        <v>7.3</v>
      </c>
      <c r="M19" s="50">
        <v>6.6</v>
      </c>
      <c r="N19" s="50">
        <v>6.6</v>
      </c>
      <c r="O19" s="50">
        <v>6.6</v>
      </c>
      <c r="P19" s="50">
        <v>6.6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6.6</v>
      </c>
      <c r="AA19" s="50">
        <v>6.6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7.3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9</v>
      </c>
      <c r="C20" s="50">
        <v>9</v>
      </c>
      <c r="D20" s="50">
        <v>9</v>
      </c>
      <c r="E20" s="50">
        <v>9</v>
      </c>
      <c r="F20" s="50">
        <v>9</v>
      </c>
      <c r="G20" s="50">
        <v>9</v>
      </c>
      <c r="H20" s="50">
        <v>9</v>
      </c>
      <c r="I20" s="50">
        <v>9</v>
      </c>
      <c r="J20" s="50">
        <v>9</v>
      </c>
      <c r="K20" s="50">
        <v>9</v>
      </c>
      <c r="L20" s="50">
        <v>9</v>
      </c>
      <c r="M20" s="50">
        <v>9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5">
        <v>28</v>
      </c>
      <c r="AH20" s="52">
        <f t="shared" si="2"/>
        <v>9</v>
      </c>
      <c r="AI20" s="53">
        <f t="shared" si="3"/>
        <v>0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6.5</v>
      </c>
      <c r="C21" s="50">
        <v>6.5</v>
      </c>
      <c r="D21" s="50">
        <v>6.5</v>
      </c>
      <c r="E21" s="50">
        <v>6.5</v>
      </c>
      <c r="F21" s="50">
        <v>6.5</v>
      </c>
      <c r="G21" s="50">
        <v>6.5</v>
      </c>
      <c r="H21" s="50">
        <v>6.5</v>
      </c>
      <c r="I21" s="50">
        <v>6.5</v>
      </c>
      <c r="J21" s="50">
        <v>6.5</v>
      </c>
      <c r="K21" s="50">
        <v>6.5</v>
      </c>
      <c r="L21" s="50">
        <v>6.5</v>
      </c>
      <c r="M21" s="50">
        <v>6.5</v>
      </c>
      <c r="N21" s="50">
        <v>6.5</v>
      </c>
      <c r="O21" s="50">
        <v>6.5</v>
      </c>
      <c r="P21" s="50">
        <v>6.5</v>
      </c>
      <c r="Q21" s="50">
        <v>6.5</v>
      </c>
      <c r="R21" s="50">
        <v>6.5</v>
      </c>
      <c r="S21" s="50">
        <v>6.5</v>
      </c>
      <c r="T21" s="50">
        <v>6.5</v>
      </c>
      <c r="U21" s="50">
        <v>6.5</v>
      </c>
      <c r="V21" s="50">
        <v>6.5</v>
      </c>
      <c r="W21" s="50">
        <v>6.5</v>
      </c>
      <c r="X21" s="50">
        <v>6.5</v>
      </c>
      <c r="Y21" s="50">
        <v>6.5</v>
      </c>
      <c r="Z21" s="50">
        <v>6.5</v>
      </c>
      <c r="AA21" s="50">
        <v>6.5</v>
      </c>
      <c r="AB21" s="50">
        <v>6.5</v>
      </c>
      <c r="AC21" s="50">
        <v>6.5</v>
      </c>
      <c r="AD21" s="50">
        <v>6.5</v>
      </c>
      <c r="AE21" s="50">
        <v>6.5</v>
      </c>
      <c r="AF21" s="50">
        <v>6.5</v>
      </c>
      <c r="AG21" s="56">
        <v>30</v>
      </c>
      <c r="AH21" s="52">
        <f t="shared" si="2"/>
        <v>6.5</v>
      </c>
      <c r="AI21" s="53">
        <f t="shared" si="3"/>
        <v>6.5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9.5</v>
      </c>
      <c r="C22" s="50">
        <v>9.5</v>
      </c>
      <c r="D22" s="50">
        <v>9.5</v>
      </c>
      <c r="E22" s="50">
        <v>11</v>
      </c>
      <c r="F22" s="50">
        <v>11.2</v>
      </c>
      <c r="G22" s="50">
        <v>11.2</v>
      </c>
      <c r="H22" s="50">
        <v>11.2</v>
      </c>
      <c r="I22" s="50">
        <v>11.2</v>
      </c>
      <c r="J22" s="50">
        <v>11.2</v>
      </c>
      <c r="K22" s="50">
        <v>11.2</v>
      </c>
      <c r="L22" s="50">
        <v>11.2</v>
      </c>
      <c r="M22" s="50">
        <v>9.6</v>
      </c>
      <c r="N22" s="50">
        <v>9.6</v>
      </c>
      <c r="O22" s="50">
        <v>9.6</v>
      </c>
      <c r="P22" s="50">
        <v>10.6</v>
      </c>
      <c r="Q22" s="50">
        <v>10.6</v>
      </c>
      <c r="R22" s="50">
        <v>10.6</v>
      </c>
      <c r="S22" s="50">
        <v>10.6</v>
      </c>
      <c r="T22" s="50">
        <v>10.6</v>
      </c>
      <c r="U22" s="50">
        <v>10.6</v>
      </c>
      <c r="V22" s="50">
        <v>10.6</v>
      </c>
      <c r="W22" s="50">
        <v>10.6</v>
      </c>
      <c r="X22" s="50">
        <v>10.6</v>
      </c>
      <c r="Y22" s="50">
        <v>10.6</v>
      </c>
      <c r="Z22" s="50">
        <v>10.6</v>
      </c>
      <c r="AA22" s="50">
        <v>10.6</v>
      </c>
      <c r="AB22" s="50">
        <v>10.6</v>
      </c>
      <c r="AC22" s="50">
        <v>10.6</v>
      </c>
      <c r="AD22" s="50">
        <v>10.6</v>
      </c>
      <c r="AE22" s="50">
        <v>10.6</v>
      </c>
      <c r="AF22" s="50">
        <v>10.6</v>
      </c>
      <c r="AG22" s="55">
        <v>25</v>
      </c>
      <c r="AH22" s="52">
        <f t="shared" si="2"/>
        <v>11.2</v>
      </c>
      <c r="AI22" s="53">
        <f t="shared" si="3"/>
        <v>9.5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5">
        <v>25</v>
      </c>
      <c r="AH23" s="52">
        <f t="shared" si="2"/>
        <v>9</v>
      </c>
      <c r="AI23" s="53">
        <f t="shared" si="3"/>
        <v>9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5.6</v>
      </c>
      <c r="C26" s="50">
        <v>5.6</v>
      </c>
      <c r="D26" s="50">
        <v>5.6</v>
      </c>
      <c r="E26" s="50">
        <v>5.6</v>
      </c>
      <c r="F26" s="50">
        <v>5.6</v>
      </c>
      <c r="G26" s="50">
        <v>5.6</v>
      </c>
      <c r="H26" s="50">
        <v>5.6</v>
      </c>
      <c r="I26" s="50">
        <v>5.6</v>
      </c>
      <c r="J26" s="50">
        <v>5.6</v>
      </c>
      <c r="K26" s="50">
        <v>5.6</v>
      </c>
      <c r="L26" s="50">
        <v>5.6</v>
      </c>
      <c r="M26" s="50">
        <v>5.6</v>
      </c>
      <c r="N26" s="50">
        <v>5.6</v>
      </c>
      <c r="O26" s="50">
        <v>5.6</v>
      </c>
      <c r="P26" s="50">
        <v>5.8</v>
      </c>
      <c r="Q26" s="50">
        <v>5.8</v>
      </c>
      <c r="R26" s="50">
        <v>5.8</v>
      </c>
      <c r="S26" s="50">
        <v>5.8</v>
      </c>
      <c r="T26" s="50">
        <v>5.8</v>
      </c>
      <c r="U26" s="50">
        <v>5.8</v>
      </c>
      <c r="V26" s="50">
        <v>5.8</v>
      </c>
      <c r="W26" s="50">
        <v>5.8</v>
      </c>
      <c r="X26" s="50">
        <v>5.8</v>
      </c>
      <c r="Y26" s="50">
        <v>5.8</v>
      </c>
      <c r="Z26" s="50">
        <v>5.8</v>
      </c>
      <c r="AA26" s="50">
        <v>5.8</v>
      </c>
      <c r="AB26" s="50">
        <v>5.8</v>
      </c>
      <c r="AC26" s="50">
        <v>5.8</v>
      </c>
      <c r="AD26" s="50">
        <v>5.8</v>
      </c>
      <c r="AE26" s="50">
        <v>5.8</v>
      </c>
      <c r="AF26" s="50">
        <v>5.8</v>
      </c>
      <c r="AG26" s="55">
        <v>23.5</v>
      </c>
      <c r="AH26" s="52">
        <f t="shared" si="2"/>
        <v>5.8</v>
      </c>
      <c r="AI26" s="53">
        <f t="shared" si="3"/>
        <v>5.6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5">
        <v>22</v>
      </c>
      <c r="AH29" s="52">
        <f t="shared" si="2"/>
        <v>4</v>
      </c>
      <c r="AI29" s="53">
        <f t="shared" si="3"/>
        <v>4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6</v>
      </c>
      <c r="C30" s="50">
        <v>6</v>
      </c>
      <c r="D30" s="50">
        <v>6</v>
      </c>
      <c r="E30" s="50">
        <v>8</v>
      </c>
      <c r="F30" s="50">
        <v>8</v>
      </c>
      <c r="G30" s="50">
        <v>8.8000000000000007</v>
      </c>
      <c r="H30" s="50">
        <v>8.8000000000000007</v>
      </c>
      <c r="I30" s="50">
        <v>8.8000000000000007</v>
      </c>
      <c r="J30" s="50">
        <v>8.8000000000000007</v>
      </c>
      <c r="K30" s="50">
        <v>8.8000000000000007</v>
      </c>
      <c r="L30" s="50">
        <v>8.8000000000000007</v>
      </c>
      <c r="M30" s="50">
        <v>8.6999999999999993</v>
      </c>
      <c r="N30" s="50">
        <v>8.6999999999999993</v>
      </c>
      <c r="O30" s="50">
        <v>8.6999999999999993</v>
      </c>
      <c r="P30" s="50">
        <v>7</v>
      </c>
      <c r="Q30" s="50">
        <v>7</v>
      </c>
      <c r="R30" s="50">
        <v>7</v>
      </c>
      <c r="S30" s="50">
        <v>7</v>
      </c>
      <c r="T30" s="50">
        <v>7</v>
      </c>
      <c r="U30" s="50">
        <v>7</v>
      </c>
      <c r="V30" s="50">
        <v>7</v>
      </c>
      <c r="W30" s="50">
        <v>7</v>
      </c>
      <c r="X30" s="50">
        <v>7</v>
      </c>
      <c r="Y30" s="50">
        <v>7</v>
      </c>
      <c r="Z30" s="50">
        <v>7</v>
      </c>
      <c r="AA30" s="50">
        <v>7</v>
      </c>
      <c r="AB30" s="50">
        <v>7</v>
      </c>
      <c r="AC30" s="50">
        <v>7</v>
      </c>
      <c r="AD30" s="50">
        <v>7</v>
      </c>
      <c r="AE30" s="50">
        <v>7</v>
      </c>
      <c r="AF30" s="50">
        <v>7</v>
      </c>
      <c r="AG30" s="55">
        <v>22</v>
      </c>
      <c r="AH30" s="52">
        <f t="shared" si="2"/>
        <v>8.8000000000000007</v>
      </c>
      <c r="AI30" s="53">
        <f t="shared" si="3"/>
        <v>6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55">
        <v>20</v>
      </c>
      <c r="AH31" s="52">
        <f t="shared" si="2"/>
        <v>6</v>
      </c>
      <c r="AI31" s="53">
        <f t="shared" si="3"/>
        <v>6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>
        <v>4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5.2</v>
      </c>
      <c r="C38" s="50">
        <v>5.2</v>
      </c>
      <c r="D38" s="50">
        <v>5.2</v>
      </c>
      <c r="E38" s="50">
        <v>5.2</v>
      </c>
      <c r="F38" s="50">
        <v>5.2</v>
      </c>
      <c r="G38" s="50">
        <v>5.2</v>
      </c>
      <c r="H38" s="50">
        <v>5.2</v>
      </c>
      <c r="I38" s="50">
        <v>5.2</v>
      </c>
      <c r="J38" s="50">
        <v>5.2</v>
      </c>
      <c r="K38" s="50">
        <v>5.2</v>
      </c>
      <c r="L38" s="50">
        <v>5.2</v>
      </c>
      <c r="M38" s="50">
        <v>5.2</v>
      </c>
      <c r="N38" s="50">
        <v>5.2</v>
      </c>
      <c r="O38" s="50">
        <v>5.2</v>
      </c>
      <c r="P38" s="50">
        <v>5.2</v>
      </c>
      <c r="Q38" s="50">
        <v>5.2</v>
      </c>
      <c r="R38" s="50">
        <v>5.2</v>
      </c>
      <c r="S38" s="50">
        <v>5.2</v>
      </c>
      <c r="T38" s="50">
        <v>5.2</v>
      </c>
      <c r="U38" s="50">
        <v>5.2</v>
      </c>
      <c r="V38" s="50">
        <v>5.2</v>
      </c>
      <c r="W38" s="50">
        <v>5.2</v>
      </c>
      <c r="X38" s="50">
        <v>5.2</v>
      </c>
      <c r="Y38" s="50">
        <v>5.2</v>
      </c>
      <c r="Z38" s="50">
        <v>5.2</v>
      </c>
      <c r="AA38" s="50">
        <v>5.2</v>
      </c>
      <c r="AB38" s="50">
        <v>5.2</v>
      </c>
      <c r="AC38" s="50">
        <v>5.2</v>
      </c>
      <c r="AD38" s="50">
        <v>5.2</v>
      </c>
      <c r="AE38" s="50">
        <v>5.2</v>
      </c>
      <c r="AF38" s="50">
        <v>5.2</v>
      </c>
      <c r="AG38" s="55">
        <v>12</v>
      </c>
      <c r="AH38" s="52">
        <f t="shared" si="2"/>
        <v>5.2</v>
      </c>
      <c r="AI38" s="53">
        <f t="shared" si="3"/>
        <v>5.2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50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3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120</v>
      </c>
      <c r="C46" s="63">
        <v>120</v>
      </c>
      <c r="D46" s="63">
        <v>120</v>
      </c>
      <c r="E46" s="63">
        <v>120</v>
      </c>
      <c r="F46" s="63">
        <v>120</v>
      </c>
      <c r="G46" s="63">
        <v>120</v>
      </c>
      <c r="H46" s="63">
        <v>120</v>
      </c>
      <c r="I46" s="63">
        <v>120</v>
      </c>
      <c r="J46" s="63">
        <v>120</v>
      </c>
      <c r="K46" s="63">
        <v>120</v>
      </c>
      <c r="L46" s="63">
        <v>120</v>
      </c>
      <c r="M46" s="63">
        <v>120</v>
      </c>
      <c r="N46" s="63">
        <v>120</v>
      </c>
      <c r="O46" s="63">
        <v>120</v>
      </c>
      <c r="P46" s="63">
        <v>120</v>
      </c>
      <c r="Q46" s="63">
        <v>120</v>
      </c>
      <c r="R46" s="63">
        <v>120</v>
      </c>
      <c r="S46" s="63">
        <v>120</v>
      </c>
      <c r="T46" s="63">
        <v>120</v>
      </c>
      <c r="U46" s="63">
        <v>120</v>
      </c>
      <c r="V46" s="63">
        <v>120</v>
      </c>
      <c r="W46" s="63">
        <v>120</v>
      </c>
      <c r="X46" s="63">
        <v>120</v>
      </c>
      <c r="Y46" s="63">
        <v>120</v>
      </c>
      <c r="Z46" s="63">
        <v>120</v>
      </c>
      <c r="AA46" s="63">
        <v>120</v>
      </c>
      <c r="AB46" s="63">
        <v>120</v>
      </c>
      <c r="AC46" s="63">
        <v>120</v>
      </c>
      <c r="AD46" s="63">
        <v>120</v>
      </c>
      <c r="AE46" s="63">
        <v>120</v>
      </c>
      <c r="AF46" s="63">
        <v>120</v>
      </c>
      <c r="AG46" s="61">
        <v>85</v>
      </c>
      <c r="AH46" s="52">
        <f t="shared" si="2"/>
        <v>120</v>
      </c>
      <c r="AI46" s="53">
        <f t="shared" si="3"/>
        <v>120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 t="shared" ref="B48:AG48" si="4">SUM(B12:B46)</f>
        <v>362.69999999999993</v>
      </c>
      <c r="C48" s="67">
        <f t="shared" si="4"/>
        <v>362.69999999999993</v>
      </c>
      <c r="D48" s="67">
        <f t="shared" si="4"/>
        <v>362.69999999999993</v>
      </c>
      <c r="E48" s="67">
        <f t="shared" si="4"/>
        <v>373.19999999999993</v>
      </c>
      <c r="F48" s="67">
        <f t="shared" si="4"/>
        <v>373.4</v>
      </c>
      <c r="G48" s="67">
        <f t="shared" si="4"/>
        <v>375.19999999999993</v>
      </c>
      <c r="H48" s="67">
        <f t="shared" si="4"/>
        <v>375.19999999999993</v>
      </c>
      <c r="I48" s="67">
        <f t="shared" si="4"/>
        <v>375.19999999999993</v>
      </c>
      <c r="J48" s="67">
        <f t="shared" si="4"/>
        <v>375.19999999999993</v>
      </c>
      <c r="K48" s="67">
        <f t="shared" si="4"/>
        <v>375.19999999999993</v>
      </c>
      <c r="L48" s="67">
        <f t="shared" si="4"/>
        <v>375.19999999999993</v>
      </c>
      <c r="M48" s="67">
        <f t="shared" si="4"/>
        <v>374.69999999999993</v>
      </c>
      <c r="N48" s="67">
        <f t="shared" si="4"/>
        <v>365.19999999999993</v>
      </c>
      <c r="O48" s="67">
        <f t="shared" si="4"/>
        <v>365.19999999999993</v>
      </c>
      <c r="P48" s="67">
        <f t="shared" ref="P48" si="5">SUM(P12:P46)</f>
        <v>359.9</v>
      </c>
      <c r="Q48" s="67">
        <f t="shared" si="4"/>
        <v>359.9</v>
      </c>
      <c r="R48" s="67">
        <f t="shared" si="4"/>
        <v>359.9</v>
      </c>
      <c r="S48" s="67">
        <f t="shared" ref="S48" si="6">SUM(S12:S46)</f>
        <v>359.9</v>
      </c>
      <c r="T48" s="67">
        <f t="shared" si="4"/>
        <v>359.9</v>
      </c>
      <c r="U48" s="67">
        <f t="shared" si="4"/>
        <v>359.9</v>
      </c>
      <c r="V48" s="67">
        <f t="shared" si="4"/>
        <v>359.9</v>
      </c>
      <c r="W48" s="67">
        <f t="shared" ref="W48:X48" si="7">SUM(W12:W46)</f>
        <v>359.9</v>
      </c>
      <c r="X48" s="67">
        <f t="shared" si="7"/>
        <v>359.9</v>
      </c>
      <c r="Y48" s="67">
        <f t="shared" ref="Y48" si="8">SUM(Y12:Y46)</f>
        <v>359.9</v>
      </c>
      <c r="Z48" s="67">
        <v>359.9</v>
      </c>
      <c r="AA48" s="67">
        <v>359.9</v>
      </c>
      <c r="AB48" s="67">
        <f t="shared" si="4"/>
        <v>359.9</v>
      </c>
      <c r="AC48" s="67">
        <f t="shared" si="4"/>
        <v>359.9</v>
      </c>
      <c r="AD48" s="67">
        <f t="shared" si="4"/>
        <v>359.9</v>
      </c>
      <c r="AE48" s="67">
        <f t="shared" si="4"/>
        <v>359.9</v>
      </c>
      <c r="AF48" s="67">
        <f t="shared" si="4"/>
        <v>359.9</v>
      </c>
      <c r="AG48" s="68">
        <f t="shared" si="4"/>
        <v>875.68</v>
      </c>
      <c r="AH48" s="52">
        <f t="shared" si="2"/>
        <v>375.19999999999993</v>
      </c>
      <c r="AI48" s="53">
        <f t="shared" si="3"/>
        <v>359.9</v>
      </c>
      <c r="AK48" s="54"/>
    </row>
    <row r="49" spans="1:41" x14ac:dyDescent="0.25">
      <c r="A49" s="69" t="s">
        <v>57</v>
      </c>
      <c r="B49" s="50">
        <v>30</v>
      </c>
      <c r="C49" s="50">
        <v>0</v>
      </c>
      <c r="D49" s="50">
        <v>0</v>
      </c>
      <c r="E49" s="50">
        <v>0</v>
      </c>
      <c r="F49" s="50">
        <v>0</v>
      </c>
      <c r="G49" s="50">
        <v>76</v>
      </c>
      <c r="H49" s="50">
        <v>55</v>
      </c>
      <c r="I49" s="50">
        <v>15</v>
      </c>
      <c r="J49" s="50">
        <v>15</v>
      </c>
      <c r="K49" s="50">
        <v>15</v>
      </c>
      <c r="L49" s="50">
        <v>50</v>
      </c>
      <c r="M49" s="70">
        <v>30</v>
      </c>
      <c r="N49" s="70">
        <v>35</v>
      </c>
      <c r="O49" s="50">
        <v>25</v>
      </c>
      <c r="P49" s="50">
        <v>0</v>
      </c>
      <c r="Q49" s="50">
        <v>0</v>
      </c>
      <c r="R49" s="50">
        <v>0</v>
      </c>
      <c r="S49" s="50">
        <v>0</v>
      </c>
      <c r="T49" s="50">
        <v>0</v>
      </c>
      <c r="U49" s="50">
        <v>80</v>
      </c>
      <c r="V49" s="50">
        <v>65</v>
      </c>
      <c r="W49" s="50">
        <v>40</v>
      </c>
      <c r="X49" s="50">
        <v>60</v>
      </c>
      <c r="Y49" s="50">
        <v>60</v>
      </c>
      <c r="Z49" s="50">
        <v>200</v>
      </c>
      <c r="AA49" s="50">
        <v>70</v>
      </c>
      <c r="AB49" s="50">
        <v>50</v>
      </c>
      <c r="AC49" s="50">
        <v>50</v>
      </c>
      <c r="AD49" s="50">
        <v>30</v>
      </c>
      <c r="AE49" s="50">
        <v>156</v>
      </c>
      <c r="AF49" s="50">
        <v>180</v>
      </c>
      <c r="AG49" s="56">
        <v>456</v>
      </c>
      <c r="AH49" s="52">
        <f t="shared" si="2"/>
        <v>200</v>
      </c>
      <c r="AI49" s="53">
        <f t="shared" si="3"/>
        <v>0</v>
      </c>
      <c r="AK49" s="54"/>
    </row>
    <row r="50" spans="1:41" x14ac:dyDescent="0.25">
      <c r="A50" s="71" t="s">
        <v>58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25</v>
      </c>
      <c r="O50" s="72">
        <v>25</v>
      </c>
      <c r="P50" s="72">
        <v>25</v>
      </c>
      <c r="Q50" s="72">
        <v>25</v>
      </c>
      <c r="R50" s="72">
        <v>25</v>
      </c>
      <c r="S50" s="72">
        <v>25</v>
      </c>
      <c r="T50" s="72">
        <v>25</v>
      </c>
      <c r="U50" s="72">
        <v>25</v>
      </c>
      <c r="V50" s="72">
        <v>25</v>
      </c>
      <c r="W50" s="72">
        <v>25</v>
      </c>
      <c r="X50" s="72">
        <v>25</v>
      </c>
      <c r="Y50" s="72">
        <v>25</v>
      </c>
      <c r="Z50" s="72">
        <v>25</v>
      </c>
      <c r="AA50" s="72">
        <v>25</v>
      </c>
      <c r="AB50" s="72">
        <v>25</v>
      </c>
      <c r="AC50" s="72">
        <v>25</v>
      </c>
      <c r="AD50" s="72">
        <v>25</v>
      </c>
      <c r="AE50" s="72">
        <v>25</v>
      </c>
      <c r="AF50" s="72">
        <v>25</v>
      </c>
      <c r="AG50" s="61">
        <v>60</v>
      </c>
      <c r="AH50" s="52">
        <f t="shared" si="2"/>
        <v>25</v>
      </c>
      <c r="AI50" s="53">
        <f t="shared" si="3"/>
        <v>25</v>
      </c>
      <c r="AK50" s="54"/>
    </row>
    <row r="51" spans="1:41" ht="15.75" thickBot="1" x14ac:dyDescent="0.3">
      <c r="A51" s="73" t="s">
        <v>59</v>
      </c>
      <c r="B51" s="74">
        <v>14.3</v>
      </c>
      <c r="C51" s="74">
        <v>14.3</v>
      </c>
      <c r="D51" s="74">
        <v>14.3</v>
      </c>
      <c r="E51" s="74">
        <v>14.3</v>
      </c>
      <c r="F51" s="74">
        <v>14.3</v>
      </c>
      <c r="G51" s="74">
        <v>14.3</v>
      </c>
      <c r="H51" s="74">
        <v>14.2</v>
      </c>
      <c r="I51" s="74">
        <v>14.2</v>
      </c>
      <c r="J51" s="74">
        <v>14.2</v>
      </c>
      <c r="K51" s="74">
        <v>14.2</v>
      </c>
      <c r="L51" s="74">
        <v>14.2</v>
      </c>
      <c r="M51" s="74">
        <v>14.3</v>
      </c>
      <c r="N51" s="74">
        <v>11.5</v>
      </c>
      <c r="O51" s="74">
        <v>12.1</v>
      </c>
      <c r="P51" s="74">
        <v>12.1</v>
      </c>
      <c r="Q51" s="74">
        <v>12.1</v>
      </c>
      <c r="R51" s="74">
        <v>12.2</v>
      </c>
      <c r="S51" s="74">
        <v>12.2</v>
      </c>
      <c r="T51" s="74">
        <v>12.2</v>
      </c>
      <c r="U51" s="74">
        <v>12.2</v>
      </c>
      <c r="V51" s="74">
        <v>12.2</v>
      </c>
      <c r="W51" s="74">
        <v>12.2</v>
      </c>
      <c r="X51" s="74">
        <v>12.2</v>
      </c>
      <c r="Y51" s="74">
        <v>12.2</v>
      </c>
      <c r="Z51" s="74">
        <v>12.2</v>
      </c>
      <c r="AA51" s="74">
        <v>12.2</v>
      </c>
      <c r="AB51" s="74">
        <v>12.1</v>
      </c>
      <c r="AC51" s="74">
        <v>12.1</v>
      </c>
      <c r="AD51" s="74">
        <v>12.1</v>
      </c>
      <c r="AE51" s="74">
        <v>12.1</v>
      </c>
      <c r="AF51" s="74">
        <v>12.1</v>
      </c>
      <c r="AG51" s="75">
        <v>22.1</v>
      </c>
      <c r="AH51" s="52">
        <f t="shared" si="2"/>
        <v>14.3</v>
      </c>
      <c r="AI51" s="53">
        <f t="shared" si="3"/>
        <v>11.5</v>
      </c>
      <c r="AK51" s="54"/>
    </row>
    <row r="52" spans="1:41" ht="15.75" thickBot="1" x14ac:dyDescent="0.3">
      <c r="A52" s="76" t="s">
        <v>60</v>
      </c>
      <c r="B52" s="67">
        <f t="shared" ref="B52:AG52" si="9">SUM(B49:B51)</f>
        <v>69.3</v>
      </c>
      <c r="C52" s="67">
        <f t="shared" si="9"/>
        <v>39.299999999999997</v>
      </c>
      <c r="D52" s="67">
        <f t="shared" si="9"/>
        <v>39.299999999999997</v>
      </c>
      <c r="E52" s="67">
        <f t="shared" si="9"/>
        <v>39.299999999999997</v>
      </c>
      <c r="F52" s="67">
        <f t="shared" si="9"/>
        <v>39.299999999999997</v>
      </c>
      <c r="G52" s="67">
        <f t="shared" si="9"/>
        <v>115.3</v>
      </c>
      <c r="H52" s="67">
        <f t="shared" si="9"/>
        <v>94.2</v>
      </c>
      <c r="I52" s="67">
        <f t="shared" si="9"/>
        <v>54.2</v>
      </c>
      <c r="J52" s="67">
        <f t="shared" si="9"/>
        <v>54.2</v>
      </c>
      <c r="K52" s="67">
        <f t="shared" si="9"/>
        <v>54.2</v>
      </c>
      <c r="L52" s="67">
        <f t="shared" si="9"/>
        <v>89.2</v>
      </c>
      <c r="M52" s="67">
        <f t="shared" si="9"/>
        <v>69.3</v>
      </c>
      <c r="N52" s="67">
        <f t="shared" si="9"/>
        <v>71.5</v>
      </c>
      <c r="O52" s="67">
        <f t="shared" si="9"/>
        <v>62.1</v>
      </c>
      <c r="P52" s="67">
        <f t="shared" ref="P52" si="10">SUM(P49:P51)</f>
        <v>37.1</v>
      </c>
      <c r="Q52" s="67">
        <f t="shared" si="9"/>
        <v>37.1</v>
      </c>
      <c r="R52" s="67">
        <f t="shared" si="9"/>
        <v>37.200000000000003</v>
      </c>
      <c r="S52" s="67">
        <f t="shared" si="9"/>
        <v>37.200000000000003</v>
      </c>
      <c r="T52" s="67">
        <f t="shared" si="9"/>
        <v>37.200000000000003</v>
      </c>
      <c r="U52" s="67">
        <f t="shared" si="9"/>
        <v>117.2</v>
      </c>
      <c r="V52" s="67">
        <f t="shared" si="9"/>
        <v>102.2</v>
      </c>
      <c r="W52" s="67">
        <f t="shared" ref="W52:X52" si="11">SUM(W49:W51)</f>
        <v>77.2</v>
      </c>
      <c r="X52" s="67">
        <f t="shared" si="11"/>
        <v>97.2</v>
      </c>
      <c r="Y52" s="67">
        <f t="shared" ref="Y52" si="12">SUM(Y49:Y51)</f>
        <v>97.2</v>
      </c>
      <c r="Z52" s="67">
        <v>237.2</v>
      </c>
      <c r="AA52" s="67">
        <f t="shared" si="9"/>
        <v>107.2</v>
      </c>
      <c r="AB52" s="67">
        <f t="shared" si="9"/>
        <v>87.1</v>
      </c>
      <c r="AC52" s="67">
        <f t="shared" si="9"/>
        <v>87.1</v>
      </c>
      <c r="AD52" s="67">
        <f t="shared" si="9"/>
        <v>67.099999999999994</v>
      </c>
      <c r="AE52" s="67">
        <f t="shared" si="9"/>
        <v>193.1</v>
      </c>
      <c r="AF52" s="67">
        <f t="shared" si="9"/>
        <v>217.1</v>
      </c>
      <c r="AG52" s="68">
        <f t="shared" si="9"/>
        <v>538.1</v>
      </c>
      <c r="AH52" s="52">
        <f t="shared" si="2"/>
        <v>237.2</v>
      </c>
      <c r="AI52" s="53">
        <f t="shared" si="3"/>
        <v>37.1</v>
      </c>
      <c r="AK52" s="54"/>
    </row>
    <row r="53" spans="1:41" x14ac:dyDescent="0.25">
      <c r="A53" s="49" t="s">
        <v>61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22.6</v>
      </c>
      <c r="H53" s="50">
        <v>22.3</v>
      </c>
      <c r="I53" s="50">
        <v>22.3</v>
      </c>
      <c r="J53" s="50">
        <v>61.2</v>
      </c>
      <c r="K53" s="50">
        <v>61.4</v>
      </c>
      <c r="L53" s="50">
        <v>61.4</v>
      </c>
      <c r="M53" s="50">
        <v>60.7</v>
      </c>
      <c r="N53" s="50">
        <v>71.2</v>
      </c>
      <c r="O53" s="50">
        <v>70.7</v>
      </c>
      <c r="P53" s="50">
        <v>97.4</v>
      </c>
      <c r="Q53" s="50">
        <v>97.4</v>
      </c>
      <c r="R53" s="50">
        <v>97.4</v>
      </c>
      <c r="S53" s="50">
        <v>97.4</v>
      </c>
      <c r="T53" s="50">
        <v>97.4</v>
      </c>
      <c r="U53" s="50">
        <v>97.4</v>
      </c>
      <c r="V53" s="50">
        <v>97.4</v>
      </c>
      <c r="W53" s="50">
        <v>91</v>
      </c>
      <c r="X53" s="50">
        <v>91.3</v>
      </c>
      <c r="Y53" s="50">
        <v>97.4</v>
      </c>
      <c r="Z53" s="50">
        <v>97.6</v>
      </c>
      <c r="AA53" s="50">
        <v>97.2</v>
      </c>
      <c r="AB53" s="50">
        <v>97.2</v>
      </c>
      <c r="AC53" s="50">
        <v>97.2</v>
      </c>
      <c r="AD53" s="50">
        <v>97.3</v>
      </c>
      <c r="AE53" s="50">
        <v>97.3</v>
      </c>
      <c r="AF53" s="50">
        <v>97.3</v>
      </c>
      <c r="AG53" s="56">
        <v>144</v>
      </c>
      <c r="AH53" s="52">
        <f t="shared" si="2"/>
        <v>97.6</v>
      </c>
      <c r="AI53" s="53">
        <f t="shared" si="3"/>
        <v>0</v>
      </c>
      <c r="AK53" s="54"/>
    </row>
    <row r="54" spans="1:41" x14ac:dyDescent="0.25">
      <c r="A54" s="60" t="s">
        <v>62</v>
      </c>
      <c r="B54" s="72">
        <v>0</v>
      </c>
      <c r="C54" s="72">
        <v>0</v>
      </c>
      <c r="D54" s="72">
        <v>0</v>
      </c>
      <c r="E54" s="72">
        <v>0</v>
      </c>
      <c r="F54" s="72">
        <v>21.6</v>
      </c>
      <c r="G54" s="72">
        <v>21.8</v>
      </c>
      <c r="H54" s="72">
        <v>21.7</v>
      </c>
      <c r="I54" s="72">
        <v>21.7</v>
      </c>
      <c r="J54" s="72">
        <v>22</v>
      </c>
      <c r="K54" s="72">
        <v>22</v>
      </c>
      <c r="L54" s="72">
        <v>22</v>
      </c>
      <c r="M54" s="72">
        <v>22</v>
      </c>
      <c r="N54" s="72">
        <v>22</v>
      </c>
      <c r="O54" s="72">
        <v>21.9</v>
      </c>
      <c r="P54" s="72">
        <v>51.2</v>
      </c>
      <c r="Q54" s="72">
        <v>68.5</v>
      </c>
      <c r="R54" s="50">
        <v>71.5</v>
      </c>
      <c r="S54" s="50">
        <v>71.5</v>
      </c>
      <c r="T54" s="50">
        <v>71.5</v>
      </c>
      <c r="U54" s="50">
        <v>69</v>
      </c>
      <c r="V54" s="50">
        <v>51.8</v>
      </c>
      <c r="W54" s="50">
        <v>35</v>
      </c>
      <c r="X54" s="50">
        <v>33.4</v>
      </c>
      <c r="Y54" s="50">
        <v>33.4</v>
      </c>
      <c r="Z54" s="50">
        <v>70</v>
      </c>
      <c r="AA54" s="50">
        <v>64.3</v>
      </c>
      <c r="AB54" s="50">
        <v>42.3</v>
      </c>
      <c r="AC54" s="50">
        <v>42.3</v>
      </c>
      <c r="AD54" s="72">
        <v>42.8</v>
      </c>
      <c r="AE54" s="72">
        <v>42.8</v>
      </c>
      <c r="AF54" s="72">
        <v>42.8</v>
      </c>
      <c r="AG54" s="61">
        <v>70</v>
      </c>
      <c r="AH54" s="52">
        <f t="shared" si="2"/>
        <v>71.5</v>
      </c>
      <c r="AI54" s="53">
        <f t="shared" si="3"/>
        <v>0</v>
      </c>
      <c r="AK54" s="54"/>
    </row>
    <row r="55" spans="1:41" x14ac:dyDescent="0.25">
      <c r="A55" s="60" t="s">
        <v>63</v>
      </c>
      <c r="B55" s="72">
        <v>21</v>
      </c>
      <c r="C55" s="72">
        <v>0</v>
      </c>
      <c r="D55" s="72">
        <v>0</v>
      </c>
      <c r="E55" s="72">
        <v>0</v>
      </c>
      <c r="F55" s="72">
        <v>0</v>
      </c>
      <c r="G55" s="72">
        <v>0</v>
      </c>
      <c r="H55" s="72">
        <v>18.100000000000001</v>
      </c>
      <c r="I55" s="72">
        <v>18.100000000000001</v>
      </c>
      <c r="J55" s="72">
        <v>18.100000000000001</v>
      </c>
      <c r="K55" s="72">
        <v>17.899999999999999</v>
      </c>
      <c r="L55" s="72">
        <v>17.899999999999999</v>
      </c>
      <c r="M55" s="72">
        <v>17.7</v>
      </c>
      <c r="N55" s="72">
        <v>17.8</v>
      </c>
      <c r="O55" s="72">
        <v>17.899999999999999</v>
      </c>
      <c r="P55" s="72">
        <v>69.2</v>
      </c>
      <c r="Q55" s="72">
        <v>61.8</v>
      </c>
      <c r="R55" s="50">
        <v>32.1</v>
      </c>
      <c r="S55" s="50">
        <v>32.1</v>
      </c>
      <c r="T55" s="50">
        <v>32.1</v>
      </c>
      <c r="U55" s="50">
        <v>45</v>
      </c>
      <c r="V55" s="50">
        <v>21.8</v>
      </c>
      <c r="W55" s="50">
        <v>16</v>
      </c>
      <c r="X55" s="50">
        <v>22.8</v>
      </c>
      <c r="Y55" s="50">
        <v>22.8</v>
      </c>
      <c r="Z55" s="50">
        <v>44.3</v>
      </c>
      <c r="AA55" s="50">
        <v>44.1</v>
      </c>
      <c r="AB55" s="50">
        <v>69.3</v>
      </c>
      <c r="AC55" s="50">
        <v>51.2</v>
      </c>
      <c r="AD55" s="72">
        <v>33.9</v>
      </c>
      <c r="AE55" s="72">
        <v>33.9</v>
      </c>
      <c r="AF55" s="72">
        <v>44.9</v>
      </c>
      <c r="AG55" s="61">
        <v>69</v>
      </c>
      <c r="AH55" s="52">
        <f t="shared" si="2"/>
        <v>69.3</v>
      </c>
      <c r="AI55" s="53">
        <f t="shared" si="3"/>
        <v>0</v>
      </c>
      <c r="AK55" s="54"/>
    </row>
    <row r="56" spans="1:41" x14ac:dyDescent="0.25">
      <c r="A56" s="60" t="s">
        <v>64</v>
      </c>
      <c r="B56" s="72">
        <v>36</v>
      </c>
      <c r="C56" s="72">
        <v>36</v>
      </c>
      <c r="D56" s="72">
        <v>36</v>
      </c>
      <c r="E56" s="72">
        <v>36</v>
      </c>
      <c r="F56" s="63">
        <v>43</v>
      </c>
      <c r="G56" s="63">
        <v>46</v>
      </c>
      <c r="H56" s="63">
        <v>46.1</v>
      </c>
      <c r="I56" s="63">
        <v>46.1</v>
      </c>
      <c r="J56" s="63">
        <v>44.4</v>
      </c>
      <c r="K56" s="63">
        <v>43.9</v>
      </c>
      <c r="L56" s="63">
        <v>43.9</v>
      </c>
      <c r="M56" s="72">
        <v>44.1</v>
      </c>
      <c r="N56" s="72">
        <v>44.4</v>
      </c>
      <c r="O56" s="72">
        <v>44.1</v>
      </c>
      <c r="P56" s="72">
        <v>43.1</v>
      </c>
      <c r="Q56" s="72">
        <v>42.1</v>
      </c>
      <c r="R56" s="50">
        <v>40.1</v>
      </c>
      <c r="S56" s="50">
        <v>40.1</v>
      </c>
      <c r="T56" s="50">
        <v>40.1</v>
      </c>
      <c r="U56" s="50">
        <v>40.1</v>
      </c>
      <c r="V56" s="50">
        <v>40.1</v>
      </c>
      <c r="W56" s="50">
        <v>40.1</v>
      </c>
      <c r="X56" s="50">
        <v>40.1</v>
      </c>
      <c r="Y56" s="50">
        <v>40.1</v>
      </c>
      <c r="Z56" s="50">
        <v>40.1</v>
      </c>
      <c r="AA56" s="50">
        <v>40.1</v>
      </c>
      <c r="AB56" s="50">
        <v>40.1</v>
      </c>
      <c r="AC56" s="50">
        <v>40.1</v>
      </c>
      <c r="AD56" s="50">
        <v>40.1</v>
      </c>
      <c r="AE56" s="50">
        <v>40.1</v>
      </c>
      <c r="AF56" s="50">
        <v>40.1</v>
      </c>
      <c r="AG56" s="61">
        <v>60</v>
      </c>
      <c r="AH56" s="52">
        <f t="shared" si="2"/>
        <v>46.1</v>
      </c>
      <c r="AI56" s="53">
        <f t="shared" si="3"/>
        <v>36</v>
      </c>
      <c r="AK56" s="54"/>
    </row>
    <row r="57" spans="1:41" x14ac:dyDescent="0.25">
      <c r="A57" s="60" t="s">
        <v>65</v>
      </c>
      <c r="B57" s="72">
        <v>0</v>
      </c>
      <c r="C57" s="72">
        <v>0</v>
      </c>
      <c r="D57" s="72">
        <v>0</v>
      </c>
      <c r="E57" s="63">
        <v>10</v>
      </c>
      <c r="F57" s="63">
        <v>10</v>
      </c>
      <c r="G57" s="63">
        <v>10</v>
      </c>
      <c r="H57" s="63">
        <v>10.3</v>
      </c>
      <c r="I57" s="63">
        <v>10.3</v>
      </c>
      <c r="J57" s="63">
        <v>9.9</v>
      </c>
      <c r="K57" s="63">
        <v>9.6999999999999993</v>
      </c>
      <c r="L57" s="63">
        <v>9.6999999999999993</v>
      </c>
      <c r="M57" s="72">
        <v>10.199999999999999</v>
      </c>
      <c r="N57" s="72">
        <v>10.4</v>
      </c>
      <c r="O57" s="72">
        <v>18.899999999999999</v>
      </c>
      <c r="P57" s="72">
        <v>21.7</v>
      </c>
      <c r="Q57" s="72">
        <v>21.7</v>
      </c>
      <c r="R57" s="50">
        <v>25</v>
      </c>
      <c r="S57" s="50">
        <v>25</v>
      </c>
      <c r="T57" s="50">
        <v>25</v>
      </c>
      <c r="U57" s="50">
        <v>13</v>
      </c>
      <c r="V57" s="50">
        <v>13</v>
      </c>
      <c r="W57" s="50">
        <v>13</v>
      </c>
      <c r="X57" s="50">
        <v>13</v>
      </c>
      <c r="Y57" s="50">
        <v>13</v>
      </c>
      <c r="Z57" s="50">
        <v>0</v>
      </c>
      <c r="AA57" s="50">
        <v>0</v>
      </c>
      <c r="AB57" s="50">
        <v>30</v>
      </c>
      <c r="AC57" s="50">
        <v>20</v>
      </c>
      <c r="AD57" s="50">
        <v>10</v>
      </c>
      <c r="AE57" s="50">
        <v>10</v>
      </c>
      <c r="AF57" s="50">
        <v>10</v>
      </c>
      <c r="AG57" s="61">
        <v>30</v>
      </c>
      <c r="AH57" s="52">
        <f t="shared" si="2"/>
        <v>30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50">
        <v>0</v>
      </c>
      <c r="I58" s="50">
        <v>0</v>
      </c>
      <c r="J58" s="50">
        <v>0</v>
      </c>
      <c r="K58" s="50">
        <v>1.9</v>
      </c>
      <c r="L58" s="50">
        <v>2.9</v>
      </c>
      <c r="M58" s="72">
        <v>4.7</v>
      </c>
      <c r="N58" s="72">
        <v>7</v>
      </c>
      <c r="O58" s="72">
        <v>10.6</v>
      </c>
      <c r="P58" s="72">
        <v>12.2</v>
      </c>
      <c r="Q58" s="72">
        <v>13.4</v>
      </c>
      <c r="R58" s="50">
        <v>13.2</v>
      </c>
      <c r="S58" s="50">
        <v>13.2</v>
      </c>
      <c r="T58" s="50">
        <v>13.2</v>
      </c>
      <c r="U58" s="50">
        <v>13.2</v>
      </c>
      <c r="V58" s="50">
        <v>13.2</v>
      </c>
      <c r="W58" s="50">
        <v>13.2</v>
      </c>
      <c r="X58" s="50">
        <v>13.2</v>
      </c>
      <c r="Y58" s="50">
        <v>13.2</v>
      </c>
      <c r="Z58" s="50">
        <v>13.2</v>
      </c>
      <c r="AA58" s="50">
        <v>13.2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13.4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15</v>
      </c>
      <c r="C59" s="72">
        <v>15</v>
      </c>
      <c r="D59" s="72">
        <v>15</v>
      </c>
      <c r="E59" s="72">
        <v>15</v>
      </c>
      <c r="F59" s="72">
        <v>15</v>
      </c>
      <c r="G59" s="72">
        <v>15</v>
      </c>
      <c r="H59" s="72">
        <v>15</v>
      </c>
      <c r="I59" s="72">
        <v>15</v>
      </c>
      <c r="J59" s="72">
        <v>15</v>
      </c>
      <c r="K59" s="72">
        <v>15</v>
      </c>
      <c r="L59" s="72">
        <v>15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15</v>
      </c>
      <c r="S59" s="72">
        <v>15</v>
      </c>
      <c r="T59" s="72">
        <v>15</v>
      </c>
      <c r="U59" s="72">
        <v>15</v>
      </c>
      <c r="V59" s="72">
        <v>15</v>
      </c>
      <c r="W59" s="72">
        <v>15</v>
      </c>
      <c r="X59" s="72">
        <v>15</v>
      </c>
      <c r="Y59" s="72">
        <v>15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15</v>
      </c>
      <c r="AI59" s="53">
        <f t="shared" si="3"/>
        <v>15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11.6</v>
      </c>
      <c r="C61" s="72">
        <v>11.6</v>
      </c>
      <c r="D61" s="72">
        <v>11.6</v>
      </c>
      <c r="E61" s="72">
        <v>11.6</v>
      </c>
      <c r="F61" s="72">
        <v>11.6</v>
      </c>
      <c r="G61" s="72">
        <v>11.6</v>
      </c>
      <c r="H61" s="72">
        <v>7.6</v>
      </c>
      <c r="I61" s="72">
        <v>7.6</v>
      </c>
      <c r="J61" s="72">
        <v>7.6</v>
      </c>
      <c r="K61" s="72">
        <v>7.6</v>
      </c>
      <c r="L61" s="72">
        <v>7.6</v>
      </c>
      <c r="M61" s="72">
        <v>9.8000000000000007</v>
      </c>
      <c r="N61" s="72">
        <v>12</v>
      </c>
      <c r="O61" s="72">
        <v>12</v>
      </c>
      <c r="P61" s="72">
        <v>11.9</v>
      </c>
      <c r="Q61" s="72">
        <v>11.9</v>
      </c>
      <c r="R61" s="72">
        <v>11.9</v>
      </c>
      <c r="S61" s="72">
        <v>11.9</v>
      </c>
      <c r="T61" s="72">
        <v>11.9</v>
      </c>
      <c r="U61" s="72">
        <v>11.9</v>
      </c>
      <c r="V61" s="72">
        <v>11.9</v>
      </c>
      <c r="W61" s="72">
        <v>11.9</v>
      </c>
      <c r="X61" s="72">
        <v>11.9</v>
      </c>
      <c r="Y61" s="72">
        <v>11.9</v>
      </c>
      <c r="Z61" s="72">
        <v>11.9</v>
      </c>
      <c r="AA61" s="72">
        <v>11.9</v>
      </c>
      <c r="AB61" s="72">
        <v>11.9</v>
      </c>
      <c r="AC61" s="72">
        <v>11.9</v>
      </c>
      <c r="AD61" s="72">
        <v>11.9</v>
      </c>
      <c r="AE61" s="72">
        <v>11.9</v>
      </c>
      <c r="AF61" s="72">
        <v>11.9</v>
      </c>
      <c r="AG61" s="61">
        <v>14.1</v>
      </c>
      <c r="AH61" s="52">
        <f t="shared" si="2"/>
        <v>12</v>
      </c>
      <c r="AI61" s="53">
        <f t="shared" si="3"/>
        <v>7.6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5.0999999999999996</v>
      </c>
      <c r="C62" s="72">
        <v>5.0999999999999996</v>
      </c>
      <c r="D62" s="72">
        <v>5.0999999999999996</v>
      </c>
      <c r="E62" s="72">
        <v>5.0999999999999996</v>
      </c>
      <c r="F62" s="72">
        <v>5.0999999999999996</v>
      </c>
      <c r="G62" s="72">
        <v>5.0999999999999996</v>
      </c>
      <c r="H62" s="72">
        <v>6.4</v>
      </c>
      <c r="I62" s="72">
        <v>6.4</v>
      </c>
      <c r="J62" s="72">
        <v>6.4</v>
      </c>
      <c r="K62" s="72">
        <v>6.4</v>
      </c>
      <c r="L62" s="72">
        <v>6.4</v>
      </c>
      <c r="M62" s="72">
        <v>4.9000000000000004</v>
      </c>
      <c r="N62" s="72">
        <v>4.9000000000000004</v>
      </c>
      <c r="O62" s="72">
        <v>4.9000000000000004</v>
      </c>
      <c r="P62" s="72">
        <v>6.4</v>
      </c>
      <c r="Q62" s="72">
        <v>6.4</v>
      </c>
      <c r="R62" s="72">
        <v>6.4</v>
      </c>
      <c r="S62" s="72">
        <v>6.4</v>
      </c>
      <c r="T62" s="72">
        <v>6.4</v>
      </c>
      <c r="U62" s="72">
        <v>6.4</v>
      </c>
      <c r="V62" s="72">
        <v>6.4</v>
      </c>
      <c r="W62" s="72">
        <v>6.4</v>
      </c>
      <c r="X62" s="72">
        <v>6.4</v>
      </c>
      <c r="Y62" s="72">
        <v>6.4</v>
      </c>
      <c r="Z62" s="72">
        <v>6.4</v>
      </c>
      <c r="AA62" s="72">
        <v>6.4</v>
      </c>
      <c r="AB62" s="72">
        <v>6.4</v>
      </c>
      <c r="AC62" s="72">
        <v>6.4</v>
      </c>
      <c r="AD62" s="72">
        <v>6.4</v>
      </c>
      <c r="AE62" s="72">
        <v>6.4</v>
      </c>
      <c r="AF62" s="72">
        <v>6.4</v>
      </c>
      <c r="AG62" s="61">
        <v>14</v>
      </c>
      <c r="AH62" s="52">
        <f t="shared" si="2"/>
        <v>6.4</v>
      </c>
      <c r="AI62" s="53">
        <f t="shared" si="3"/>
        <v>4.9000000000000004</v>
      </c>
      <c r="AK62" s="54"/>
    </row>
    <row r="63" spans="1:41" x14ac:dyDescent="0.25">
      <c r="A63" s="60" t="s">
        <v>71</v>
      </c>
      <c r="B63" s="72">
        <v>3.5</v>
      </c>
      <c r="C63" s="72">
        <v>3.5</v>
      </c>
      <c r="D63" s="72">
        <v>3.5</v>
      </c>
      <c r="E63" s="72">
        <v>3.5</v>
      </c>
      <c r="F63" s="72">
        <v>3.5</v>
      </c>
      <c r="G63" s="72">
        <v>3.5</v>
      </c>
      <c r="H63" s="72">
        <v>3.2</v>
      </c>
      <c r="I63" s="72">
        <v>3.2</v>
      </c>
      <c r="J63" s="72">
        <v>3.2</v>
      </c>
      <c r="K63" s="72">
        <v>3.2</v>
      </c>
      <c r="L63" s="72">
        <v>3.2</v>
      </c>
      <c r="M63" s="72">
        <v>3.2</v>
      </c>
      <c r="N63" s="72">
        <v>3.2</v>
      </c>
      <c r="O63" s="72">
        <v>3.2</v>
      </c>
      <c r="P63" s="72">
        <v>3.2</v>
      </c>
      <c r="Q63" s="72">
        <v>3.2</v>
      </c>
      <c r="R63" s="72">
        <v>3.2</v>
      </c>
      <c r="S63" s="72">
        <v>3.2</v>
      </c>
      <c r="T63" s="72">
        <v>3.2</v>
      </c>
      <c r="U63" s="72">
        <v>3.2</v>
      </c>
      <c r="V63" s="72">
        <v>3.2</v>
      </c>
      <c r="W63" s="72">
        <v>3.2</v>
      </c>
      <c r="X63" s="72">
        <v>3.2</v>
      </c>
      <c r="Y63" s="72">
        <v>3.2</v>
      </c>
      <c r="Z63" s="72">
        <v>3.2</v>
      </c>
      <c r="AA63" s="72">
        <v>3.2</v>
      </c>
      <c r="AB63" s="72">
        <v>3.2</v>
      </c>
      <c r="AC63" s="72">
        <v>3.2</v>
      </c>
      <c r="AD63" s="72">
        <v>3.2</v>
      </c>
      <c r="AE63" s="72">
        <v>3.2</v>
      </c>
      <c r="AF63" s="72">
        <v>3.2</v>
      </c>
      <c r="AG63" s="61">
        <v>10.050000000000001</v>
      </c>
      <c r="AH63" s="52">
        <f t="shared" si="2"/>
        <v>3.5</v>
      </c>
      <c r="AI63" s="53">
        <f t="shared" si="3"/>
        <v>3.2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:AG66" si="13">SUM(B53:B65)</f>
        <v>97.74</v>
      </c>
      <c r="C66" s="67">
        <f t="shared" si="13"/>
        <v>76.740000000000009</v>
      </c>
      <c r="D66" s="67">
        <f t="shared" si="13"/>
        <v>76.740000000000009</v>
      </c>
      <c r="E66" s="67">
        <f t="shared" si="13"/>
        <v>86.74</v>
      </c>
      <c r="F66" s="67">
        <f t="shared" si="13"/>
        <v>115.33999999999999</v>
      </c>
      <c r="G66" s="67">
        <f t="shared" si="13"/>
        <v>141.13999999999999</v>
      </c>
      <c r="H66" s="67">
        <f t="shared" si="13"/>
        <v>156.23999999999998</v>
      </c>
      <c r="I66" s="67">
        <f t="shared" si="13"/>
        <v>156.23999999999998</v>
      </c>
      <c r="J66" s="67">
        <f t="shared" si="13"/>
        <v>193.34</v>
      </c>
      <c r="K66" s="67">
        <f t="shared" si="13"/>
        <v>194.54</v>
      </c>
      <c r="L66" s="67">
        <f t="shared" si="13"/>
        <v>195.54</v>
      </c>
      <c r="M66" s="67">
        <f t="shared" si="13"/>
        <v>197.83999999999997</v>
      </c>
      <c r="N66" s="67">
        <f t="shared" si="13"/>
        <v>213.44</v>
      </c>
      <c r="O66" s="67">
        <f t="shared" si="13"/>
        <v>224.73999999999998</v>
      </c>
      <c r="P66" s="67">
        <f t="shared" si="13"/>
        <v>336.84</v>
      </c>
      <c r="Q66" s="67">
        <f t="shared" si="13"/>
        <v>346.93999999999994</v>
      </c>
      <c r="R66" s="67">
        <f t="shared" si="13"/>
        <v>321.33999999999997</v>
      </c>
      <c r="S66" s="67">
        <f t="shared" si="13"/>
        <v>321.33999999999997</v>
      </c>
      <c r="T66" s="67">
        <f t="shared" si="13"/>
        <v>321.33999999999997</v>
      </c>
      <c r="U66" s="67">
        <f t="shared" si="13"/>
        <v>319.73999999999995</v>
      </c>
      <c r="V66" s="67">
        <f t="shared" si="13"/>
        <v>279.33999999999997</v>
      </c>
      <c r="W66" s="67">
        <f t="shared" ref="W66:X66" si="14">SUM(W53:W65)</f>
        <v>250.33999999999997</v>
      </c>
      <c r="X66" s="67">
        <f t="shared" si="14"/>
        <v>255.83999999999997</v>
      </c>
      <c r="Y66" s="67">
        <f t="shared" ref="Y66" si="15">SUM(Y53:Y65)</f>
        <v>261.94000000000005</v>
      </c>
      <c r="Z66" s="67">
        <v>307.23999999999995</v>
      </c>
      <c r="AA66" s="67">
        <f t="shared" si="13"/>
        <v>300.93999999999994</v>
      </c>
      <c r="AB66" s="67">
        <f t="shared" si="13"/>
        <v>320.93999999999994</v>
      </c>
      <c r="AC66" s="67">
        <f t="shared" si="13"/>
        <v>292.83999999999992</v>
      </c>
      <c r="AD66" s="67">
        <f t="shared" si="13"/>
        <v>266.14</v>
      </c>
      <c r="AE66" s="67">
        <f t="shared" si="13"/>
        <v>266.14</v>
      </c>
      <c r="AF66" s="67">
        <f t="shared" si="13"/>
        <v>277.14</v>
      </c>
      <c r="AG66" s="68">
        <f t="shared" si="13"/>
        <v>489.91</v>
      </c>
      <c r="AH66" s="52">
        <f t="shared" si="2"/>
        <v>346.93999999999994</v>
      </c>
      <c r="AI66" s="53">
        <f t="shared" si="3"/>
        <v>76.740000000000009</v>
      </c>
      <c r="AK66" s="54"/>
    </row>
    <row r="67" spans="1:40" x14ac:dyDescent="0.25">
      <c r="A67" s="49" t="s">
        <v>75</v>
      </c>
      <c r="B67" s="50">
        <v>60</v>
      </c>
      <c r="C67" s="50">
        <v>60</v>
      </c>
      <c r="D67" s="50">
        <v>60</v>
      </c>
      <c r="E67" s="50">
        <v>60</v>
      </c>
      <c r="F67" s="50">
        <v>60</v>
      </c>
      <c r="G67" s="50">
        <v>60</v>
      </c>
      <c r="H67" s="50">
        <v>60</v>
      </c>
      <c r="I67" s="50">
        <v>40</v>
      </c>
      <c r="J67" s="50">
        <v>40</v>
      </c>
      <c r="K67" s="50">
        <v>40</v>
      </c>
      <c r="L67" s="50">
        <v>40</v>
      </c>
      <c r="M67" s="50">
        <v>40</v>
      </c>
      <c r="N67" s="50">
        <v>45</v>
      </c>
      <c r="O67" s="50">
        <v>60</v>
      </c>
      <c r="P67" s="50">
        <v>60</v>
      </c>
      <c r="Q67" s="50">
        <v>60</v>
      </c>
      <c r="R67" s="50">
        <v>60</v>
      </c>
      <c r="S67" s="50">
        <v>60</v>
      </c>
      <c r="T67" s="50">
        <v>60</v>
      </c>
      <c r="U67" s="50">
        <v>60</v>
      </c>
      <c r="V67" s="50">
        <v>60</v>
      </c>
      <c r="W67" s="50">
        <v>60</v>
      </c>
      <c r="X67" s="50">
        <v>60</v>
      </c>
      <c r="Y67" s="50">
        <v>60</v>
      </c>
      <c r="Z67" s="50">
        <v>60</v>
      </c>
      <c r="AA67" s="50">
        <v>60</v>
      </c>
      <c r="AB67" s="50">
        <v>60</v>
      </c>
      <c r="AC67" s="50">
        <v>60</v>
      </c>
      <c r="AD67" s="50">
        <v>40</v>
      </c>
      <c r="AE67" s="50">
        <v>60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40</v>
      </c>
      <c r="AK67" s="54"/>
    </row>
    <row r="68" spans="1:40" x14ac:dyDescent="0.25">
      <c r="A68" s="60" t="s">
        <v>76</v>
      </c>
      <c r="B68" s="72">
        <v>28.3</v>
      </c>
      <c r="C68" s="72">
        <v>28.3</v>
      </c>
      <c r="D68" s="72">
        <v>28.3</v>
      </c>
      <c r="E68" s="72">
        <v>28.3</v>
      </c>
      <c r="F68" s="72">
        <v>28.3</v>
      </c>
      <c r="G68" s="72">
        <v>28.3</v>
      </c>
      <c r="H68" s="72">
        <v>28.1</v>
      </c>
      <c r="I68" s="72">
        <v>28.1</v>
      </c>
      <c r="J68" s="72">
        <v>15.9</v>
      </c>
      <c r="K68" s="72">
        <v>16.8</v>
      </c>
      <c r="L68" s="72">
        <v>16.100000000000001</v>
      </c>
      <c r="M68" s="72">
        <v>20.5</v>
      </c>
      <c r="N68" s="72">
        <v>15.5</v>
      </c>
      <c r="O68" s="72">
        <v>30</v>
      </c>
      <c r="P68" s="72">
        <v>27.9</v>
      </c>
      <c r="Q68" s="50">
        <v>28.7</v>
      </c>
      <c r="R68" s="50">
        <v>28.6</v>
      </c>
      <c r="S68" s="50">
        <v>28.6</v>
      </c>
      <c r="T68" s="50">
        <v>28.6</v>
      </c>
      <c r="U68" s="50">
        <v>28.6</v>
      </c>
      <c r="V68" s="72">
        <v>28.5</v>
      </c>
      <c r="W68" s="72">
        <v>28.5</v>
      </c>
      <c r="X68" s="72">
        <v>28.5</v>
      </c>
      <c r="Y68" s="72">
        <v>28.5</v>
      </c>
      <c r="Z68" s="72">
        <v>28.5</v>
      </c>
      <c r="AA68" s="72">
        <v>30</v>
      </c>
      <c r="AB68" s="72">
        <v>28.1</v>
      </c>
      <c r="AC68" s="72">
        <v>28.1</v>
      </c>
      <c r="AD68" s="72">
        <v>15</v>
      </c>
      <c r="AE68" s="72">
        <v>24.8</v>
      </c>
      <c r="AF68" s="50">
        <v>28.2</v>
      </c>
      <c r="AG68" s="61">
        <v>32</v>
      </c>
      <c r="AH68" s="52">
        <f t="shared" si="2"/>
        <v>30</v>
      </c>
      <c r="AI68" s="53">
        <f t="shared" si="3"/>
        <v>15</v>
      </c>
      <c r="AK68" s="54"/>
    </row>
    <row r="69" spans="1:40" ht="15.75" thickBot="1" x14ac:dyDescent="0.3">
      <c r="A69" s="78" t="s">
        <v>77</v>
      </c>
      <c r="B69" s="74">
        <v>10.3</v>
      </c>
      <c r="C69" s="74">
        <v>10.3</v>
      </c>
      <c r="D69" s="74">
        <v>10.3</v>
      </c>
      <c r="E69" s="74">
        <v>10.3</v>
      </c>
      <c r="F69" s="74">
        <v>10.3</v>
      </c>
      <c r="G69" s="74">
        <v>10.3</v>
      </c>
      <c r="H69" s="74">
        <v>10.3</v>
      </c>
      <c r="I69" s="74">
        <v>10.4</v>
      </c>
      <c r="J69" s="74">
        <v>5.8</v>
      </c>
      <c r="K69" s="74">
        <v>6.2</v>
      </c>
      <c r="L69" s="74">
        <v>5.9</v>
      </c>
      <c r="M69" s="74">
        <v>7.5</v>
      </c>
      <c r="N69" s="74">
        <v>5.7</v>
      </c>
      <c r="O69" s="74">
        <v>10.9</v>
      </c>
      <c r="P69" s="74">
        <v>10.199999999999999</v>
      </c>
      <c r="Q69" s="50">
        <v>10.5</v>
      </c>
      <c r="R69" s="50">
        <v>10.6</v>
      </c>
      <c r="S69" s="50">
        <v>10.6</v>
      </c>
      <c r="T69" s="50">
        <v>10.6</v>
      </c>
      <c r="U69" s="50">
        <v>10.6</v>
      </c>
      <c r="V69" s="74">
        <v>10.4</v>
      </c>
      <c r="W69" s="74">
        <v>10.4</v>
      </c>
      <c r="X69" s="74">
        <v>10.4</v>
      </c>
      <c r="Y69" s="74">
        <v>10.4</v>
      </c>
      <c r="Z69" s="74">
        <v>10.4</v>
      </c>
      <c r="AA69" s="74">
        <v>10.3</v>
      </c>
      <c r="AB69" s="74">
        <v>10.3</v>
      </c>
      <c r="AC69" s="74">
        <v>10.3</v>
      </c>
      <c r="AD69" s="74">
        <v>7</v>
      </c>
      <c r="AE69" s="74">
        <v>9.8000000000000007</v>
      </c>
      <c r="AF69" s="50">
        <v>10.3</v>
      </c>
      <c r="AG69" s="75">
        <v>14</v>
      </c>
      <c r="AH69" s="52">
        <f t="shared" si="2"/>
        <v>10.9</v>
      </c>
      <c r="AI69" s="53">
        <f t="shared" si="3"/>
        <v>5.7</v>
      </c>
      <c r="AK69" s="54"/>
    </row>
    <row r="70" spans="1:40" ht="15.75" thickBot="1" x14ac:dyDescent="0.3">
      <c r="A70" s="81" t="s">
        <v>78</v>
      </c>
      <c r="B70" s="67">
        <f>B67+B68+B69</f>
        <v>98.6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62</v>
      </c>
      <c r="M70" s="67">
        <f t="shared" ref="M70:AF70" si="16">M67+M68+M69</f>
        <v>68</v>
      </c>
      <c r="N70" s="67">
        <f t="shared" si="16"/>
        <v>66.2</v>
      </c>
      <c r="O70" s="67">
        <f t="shared" si="16"/>
        <v>100.9</v>
      </c>
      <c r="P70" s="67">
        <f t="shared" si="16"/>
        <v>98.100000000000009</v>
      </c>
      <c r="Q70" s="67">
        <f t="shared" si="16"/>
        <v>99.2</v>
      </c>
      <c r="R70" s="67">
        <f t="shared" si="16"/>
        <v>99.199999999999989</v>
      </c>
      <c r="S70" s="67">
        <f t="shared" si="16"/>
        <v>99.199999999999989</v>
      </c>
      <c r="T70" s="67">
        <f t="shared" si="16"/>
        <v>99.199999999999989</v>
      </c>
      <c r="U70" s="67">
        <f t="shared" si="16"/>
        <v>99.199999999999989</v>
      </c>
      <c r="V70" s="67">
        <f t="shared" si="16"/>
        <v>98.9</v>
      </c>
      <c r="W70" s="67">
        <f t="shared" ref="W70:X70" si="17">W67+W68+W69</f>
        <v>98.9</v>
      </c>
      <c r="X70" s="67">
        <f t="shared" si="17"/>
        <v>98.9</v>
      </c>
      <c r="Y70" s="67">
        <f t="shared" ref="Y70" si="18">Y67+Y68+Y69</f>
        <v>98.9</v>
      </c>
      <c r="Z70" s="67">
        <v>98.9</v>
      </c>
      <c r="AA70" s="67">
        <f t="shared" si="16"/>
        <v>100.3</v>
      </c>
      <c r="AB70" s="67">
        <f t="shared" si="16"/>
        <v>98.399999999999991</v>
      </c>
      <c r="AC70" s="67">
        <f t="shared" si="16"/>
        <v>98.399999999999991</v>
      </c>
      <c r="AD70" s="67">
        <f t="shared" si="16"/>
        <v>62</v>
      </c>
      <c r="AE70" s="67">
        <f t="shared" si="16"/>
        <v>94.6</v>
      </c>
      <c r="AF70" s="67">
        <f t="shared" si="16"/>
        <v>98.5</v>
      </c>
      <c r="AG70" s="68">
        <f>SUM(AG67:AG69)</f>
        <v>106</v>
      </c>
      <c r="AH70" s="52">
        <f t="shared" si="2"/>
        <v>100.9</v>
      </c>
      <c r="AI70" s="53">
        <f t="shared" si="3"/>
        <v>0</v>
      </c>
      <c r="AK70" s="54"/>
    </row>
    <row r="71" spans="1:40" x14ac:dyDescent="0.25">
      <c r="A71" s="49" t="s">
        <v>79</v>
      </c>
      <c r="B71" s="50">
        <v>65.3</v>
      </c>
      <c r="C71" s="50">
        <v>70.2</v>
      </c>
      <c r="D71" s="50">
        <v>70.2</v>
      </c>
      <c r="E71" s="50">
        <v>64</v>
      </c>
      <c r="F71" s="50">
        <v>70</v>
      </c>
      <c r="G71" s="50">
        <v>68.400000000000006</v>
      </c>
      <c r="H71" s="50">
        <v>70.900000000000006</v>
      </c>
      <c r="I71" s="50">
        <v>53.6</v>
      </c>
      <c r="J71" s="50">
        <v>62.1</v>
      </c>
      <c r="K71" s="50">
        <v>63.8</v>
      </c>
      <c r="L71" s="50">
        <v>58.2</v>
      </c>
      <c r="M71" s="50">
        <v>62.6</v>
      </c>
      <c r="N71" s="50">
        <v>62.2</v>
      </c>
      <c r="O71" s="50">
        <v>69.900000000000006</v>
      </c>
      <c r="P71" s="50">
        <v>68</v>
      </c>
      <c r="Q71" s="50">
        <v>71</v>
      </c>
      <c r="R71" s="50">
        <v>70.400000000000006</v>
      </c>
      <c r="S71" s="50">
        <v>72</v>
      </c>
      <c r="T71" s="50">
        <v>72</v>
      </c>
      <c r="U71" s="50">
        <v>77</v>
      </c>
      <c r="V71" s="50">
        <v>71.900000000000006</v>
      </c>
      <c r="W71" s="50">
        <v>52</v>
      </c>
      <c r="X71" s="50">
        <v>54</v>
      </c>
      <c r="Y71" s="50">
        <v>54</v>
      </c>
      <c r="Z71" s="50">
        <v>65.400000000000006</v>
      </c>
      <c r="AA71" s="50">
        <v>64.5</v>
      </c>
      <c r="AB71" s="50">
        <v>66.599999999999994</v>
      </c>
      <c r="AC71" s="50">
        <v>76</v>
      </c>
      <c r="AD71" s="50">
        <v>73</v>
      </c>
      <c r="AE71" s="50">
        <v>67</v>
      </c>
      <c r="AF71" s="50">
        <v>67.7</v>
      </c>
      <c r="AG71" s="56"/>
      <c r="AH71" s="52">
        <f t="shared" si="2"/>
        <v>77</v>
      </c>
      <c r="AI71" s="53">
        <f t="shared" si="3"/>
        <v>52</v>
      </c>
      <c r="AK71" s="54"/>
    </row>
    <row r="72" spans="1:40" x14ac:dyDescent="0.25">
      <c r="A72" s="60" t="s">
        <v>80</v>
      </c>
      <c r="B72" s="72">
        <v>0</v>
      </c>
      <c r="C72" s="72">
        <v>0</v>
      </c>
      <c r="D72" s="72">
        <v>60</v>
      </c>
      <c r="E72" s="72">
        <v>75.2</v>
      </c>
      <c r="F72" s="72">
        <v>81</v>
      </c>
      <c r="G72" s="72">
        <v>84.8</v>
      </c>
      <c r="H72" s="72">
        <v>79</v>
      </c>
      <c r="I72" s="72">
        <v>73</v>
      </c>
      <c r="J72" s="72">
        <v>73.900000000000006</v>
      </c>
      <c r="K72" s="72">
        <v>75.2</v>
      </c>
      <c r="L72" s="72">
        <v>75.900000000000006</v>
      </c>
      <c r="M72" s="72">
        <v>90.1</v>
      </c>
      <c r="N72" s="72">
        <v>88.7</v>
      </c>
      <c r="O72" s="72">
        <v>81.2</v>
      </c>
      <c r="P72" s="72">
        <v>83.5</v>
      </c>
      <c r="Q72" s="72">
        <v>95.2</v>
      </c>
      <c r="R72" s="72">
        <v>96.7</v>
      </c>
      <c r="S72" s="72">
        <v>96.7</v>
      </c>
      <c r="T72" s="72">
        <v>96.7</v>
      </c>
      <c r="U72" s="72">
        <v>98</v>
      </c>
      <c r="V72" s="72">
        <v>77.400000000000006</v>
      </c>
      <c r="W72" s="72">
        <v>72</v>
      </c>
      <c r="X72" s="72">
        <v>69.599999999999994</v>
      </c>
      <c r="Y72" s="72">
        <v>69.599999999999994</v>
      </c>
      <c r="Z72" s="72">
        <v>0</v>
      </c>
      <c r="AA72" s="72">
        <v>0</v>
      </c>
      <c r="AB72" s="72">
        <v>92.3</v>
      </c>
      <c r="AC72" s="72">
        <v>89.8</v>
      </c>
      <c r="AD72" s="72">
        <v>33.5</v>
      </c>
      <c r="AE72" s="72">
        <v>45.1</v>
      </c>
      <c r="AF72" s="72">
        <v>42.3</v>
      </c>
      <c r="AG72" s="61"/>
      <c r="AH72" s="52">
        <f t="shared" si="2"/>
        <v>98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502</v>
      </c>
      <c r="C73" s="72">
        <v>491</v>
      </c>
      <c r="D73" s="72">
        <v>421</v>
      </c>
      <c r="E73" s="72">
        <v>428.2</v>
      </c>
      <c r="F73" s="72">
        <v>406.8</v>
      </c>
      <c r="G73" s="72">
        <v>311.2</v>
      </c>
      <c r="H73" s="72">
        <v>340</v>
      </c>
      <c r="I73" s="72">
        <v>338</v>
      </c>
      <c r="J73" s="72">
        <v>352</v>
      </c>
      <c r="K73" s="72">
        <v>372.5</v>
      </c>
      <c r="L73" s="72">
        <v>376.8</v>
      </c>
      <c r="M73" s="72">
        <v>403.3</v>
      </c>
      <c r="N73" s="72">
        <v>372.8</v>
      </c>
      <c r="O73" s="72">
        <v>393</v>
      </c>
      <c r="P73" s="72">
        <v>402.7</v>
      </c>
      <c r="Q73" s="72">
        <v>441.3</v>
      </c>
      <c r="R73" s="72">
        <v>459.1</v>
      </c>
      <c r="S73" s="72">
        <v>459.1</v>
      </c>
      <c r="T73" s="72">
        <v>409</v>
      </c>
      <c r="U73" s="72">
        <v>400</v>
      </c>
      <c r="V73" s="72">
        <v>365</v>
      </c>
      <c r="W73" s="72">
        <v>392</v>
      </c>
      <c r="X73" s="72">
        <v>390</v>
      </c>
      <c r="Y73" s="72">
        <v>390</v>
      </c>
      <c r="Z73" s="72">
        <v>300</v>
      </c>
      <c r="AA73" s="72">
        <v>200</v>
      </c>
      <c r="AB73" s="72">
        <v>238</v>
      </c>
      <c r="AC73" s="72">
        <v>271</v>
      </c>
      <c r="AD73" s="72">
        <v>379</v>
      </c>
      <c r="AE73" s="72">
        <v>290</v>
      </c>
      <c r="AF73" s="72">
        <v>273</v>
      </c>
      <c r="AG73" s="82"/>
      <c r="AH73" s="52">
        <f t="shared" si="2"/>
        <v>502</v>
      </c>
      <c r="AI73" s="53">
        <f t="shared" si="3"/>
        <v>200</v>
      </c>
      <c r="AK73" s="54"/>
    </row>
    <row r="74" spans="1:40" x14ac:dyDescent="0.25">
      <c r="A74" s="60" t="s">
        <v>82</v>
      </c>
      <c r="B74" s="72">
        <v>13</v>
      </c>
      <c r="C74" s="72">
        <v>63.6</v>
      </c>
      <c r="D74" s="72">
        <v>65.3</v>
      </c>
      <c r="E74" s="83">
        <v>65.900000000000006</v>
      </c>
      <c r="F74" s="83">
        <v>63</v>
      </c>
      <c r="G74" s="83">
        <v>67.599999999999994</v>
      </c>
      <c r="H74" s="83">
        <v>72.599999999999994</v>
      </c>
      <c r="I74" s="83">
        <v>68.8</v>
      </c>
      <c r="J74" s="83">
        <v>70.7</v>
      </c>
      <c r="K74" s="83">
        <v>71.2</v>
      </c>
      <c r="L74" s="83">
        <v>70.8</v>
      </c>
      <c r="M74" s="83">
        <v>59.4</v>
      </c>
      <c r="N74" s="83">
        <v>67</v>
      </c>
      <c r="O74" s="83">
        <v>68.599999999999994</v>
      </c>
      <c r="P74" s="83">
        <v>70.599999999999994</v>
      </c>
      <c r="Q74" s="83">
        <v>67.400000000000006</v>
      </c>
      <c r="R74" s="83">
        <v>56</v>
      </c>
      <c r="S74" s="83">
        <v>56</v>
      </c>
      <c r="T74" s="83">
        <v>56</v>
      </c>
      <c r="U74" s="83">
        <v>62</v>
      </c>
      <c r="V74" s="83">
        <v>62</v>
      </c>
      <c r="W74" s="83">
        <v>62</v>
      </c>
      <c r="X74" s="83">
        <v>62</v>
      </c>
      <c r="Y74" s="83">
        <v>62</v>
      </c>
      <c r="Z74" s="72">
        <v>62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82"/>
      <c r="AH74" s="52">
        <f t="shared" si="2"/>
        <v>72.599999999999994</v>
      </c>
      <c r="AI74" s="53">
        <f t="shared" si="3"/>
        <v>0</v>
      </c>
      <c r="AK74" s="54"/>
    </row>
    <row r="75" spans="1:40" x14ac:dyDescent="0.25">
      <c r="A75" s="60" t="s">
        <v>83</v>
      </c>
      <c r="B75" s="50">
        <v>0</v>
      </c>
      <c r="C75" s="50">
        <v>0</v>
      </c>
      <c r="D75" s="50">
        <v>0</v>
      </c>
      <c r="E75" s="50">
        <v>25.4</v>
      </c>
      <c r="F75" s="50">
        <v>25.3</v>
      </c>
      <c r="G75" s="50">
        <v>26.6</v>
      </c>
      <c r="H75" s="50">
        <v>24.6</v>
      </c>
      <c r="I75" s="50">
        <v>24</v>
      </c>
      <c r="J75" s="50">
        <v>26.3</v>
      </c>
      <c r="K75" s="50">
        <v>28</v>
      </c>
      <c r="L75" s="50">
        <v>29.1</v>
      </c>
      <c r="M75" s="50">
        <v>30.4</v>
      </c>
      <c r="N75" s="50">
        <v>30</v>
      </c>
      <c r="O75" s="50">
        <v>32.700000000000003</v>
      </c>
      <c r="P75" s="50">
        <v>36.6</v>
      </c>
      <c r="Q75" s="50">
        <v>35.299999999999997</v>
      </c>
      <c r="R75" s="50">
        <v>35.9</v>
      </c>
      <c r="S75" s="50">
        <v>35.9</v>
      </c>
      <c r="T75" s="50">
        <v>35.9</v>
      </c>
      <c r="U75" s="50">
        <v>32</v>
      </c>
      <c r="V75" s="50">
        <v>32</v>
      </c>
      <c r="W75" s="50">
        <v>32</v>
      </c>
      <c r="X75" s="50">
        <v>32</v>
      </c>
      <c r="Y75" s="50">
        <v>32</v>
      </c>
      <c r="Z75" s="50">
        <v>32</v>
      </c>
      <c r="AA75" s="50">
        <v>0</v>
      </c>
      <c r="AB75" s="50">
        <v>0</v>
      </c>
      <c r="AC75" s="50">
        <v>0</v>
      </c>
      <c r="AD75" s="50">
        <v>0</v>
      </c>
      <c r="AE75" s="50">
        <v>0</v>
      </c>
      <c r="AF75" s="50">
        <v>0</v>
      </c>
      <c r="AG75" s="82"/>
      <c r="AH75" s="52">
        <f t="shared" ref="AH75:AH117" si="19">MAX(B75:AF75)</f>
        <v>36.6</v>
      </c>
      <c r="AI75" s="53">
        <f t="shared" ref="AI75:AI117" si="20">MIN(B75:AF75)</f>
        <v>0</v>
      </c>
      <c r="AK75" s="54"/>
    </row>
    <row r="76" spans="1:40" x14ac:dyDescent="0.25">
      <c r="A76" s="60" t="s">
        <v>84</v>
      </c>
      <c r="B76" s="84">
        <v>5</v>
      </c>
      <c r="C76" s="84">
        <v>5</v>
      </c>
      <c r="D76" s="84">
        <v>5</v>
      </c>
      <c r="E76" s="84">
        <v>5</v>
      </c>
      <c r="F76" s="84">
        <v>5</v>
      </c>
      <c r="G76" s="84">
        <v>5</v>
      </c>
      <c r="H76" s="84">
        <v>5</v>
      </c>
      <c r="I76" s="84">
        <v>5</v>
      </c>
      <c r="J76" s="84">
        <v>5</v>
      </c>
      <c r="K76" s="84">
        <v>5</v>
      </c>
      <c r="L76" s="84">
        <v>5</v>
      </c>
      <c r="M76" s="84">
        <v>5</v>
      </c>
      <c r="N76" s="84">
        <v>5</v>
      </c>
      <c r="O76" s="84">
        <v>5</v>
      </c>
      <c r="P76" s="84">
        <v>5</v>
      </c>
      <c r="Q76" s="84">
        <v>5</v>
      </c>
      <c r="R76" s="84">
        <v>5</v>
      </c>
      <c r="S76" s="84">
        <v>5</v>
      </c>
      <c r="T76" s="84">
        <v>5</v>
      </c>
      <c r="U76" s="84">
        <v>5</v>
      </c>
      <c r="V76" s="84">
        <v>5</v>
      </c>
      <c r="W76" s="84">
        <v>5</v>
      </c>
      <c r="X76" s="84">
        <v>5</v>
      </c>
      <c r="Y76" s="84">
        <v>5</v>
      </c>
      <c r="Z76" s="84">
        <v>5</v>
      </c>
      <c r="AA76" s="84">
        <v>5</v>
      </c>
      <c r="AB76" s="84">
        <v>5</v>
      </c>
      <c r="AC76" s="84">
        <v>5</v>
      </c>
      <c r="AD76" s="84">
        <v>5</v>
      </c>
      <c r="AE76" s="84">
        <v>5</v>
      </c>
      <c r="AF76" s="84">
        <v>5</v>
      </c>
      <c r="AG76" s="82"/>
      <c r="AH76" s="52">
        <f t="shared" si="19"/>
        <v>5</v>
      </c>
      <c r="AI76" s="53">
        <f t="shared" si="20"/>
        <v>5</v>
      </c>
      <c r="AK76" s="54"/>
    </row>
    <row r="77" spans="1:40" ht="15.75" thickBot="1" x14ac:dyDescent="0.3">
      <c r="A77" s="60" t="s">
        <v>85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9"/>
        <v>0</v>
      </c>
      <c r="AI77" s="53">
        <f t="shared" si="20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9"/>
        <v>0</v>
      </c>
      <c r="AI78" s="53">
        <f t="shared" si="20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9"/>
        <v>0</v>
      </c>
      <c r="AI79" s="53">
        <f t="shared" si="20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9"/>
        <v>0</v>
      </c>
      <c r="AI80" s="53">
        <f t="shared" si="20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9"/>
        <v>0</v>
      </c>
      <c r="AI81" s="53">
        <f t="shared" si="20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:AF82" si="21">SUMIF(B71:B81,"&gt;0")</f>
        <v>585.29999999999995</v>
      </c>
      <c r="C82" s="67">
        <f t="shared" si="21"/>
        <v>629.80000000000007</v>
      </c>
      <c r="D82" s="67">
        <f t="shared" si="21"/>
        <v>621.5</v>
      </c>
      <c r="E82" s="67">
        <f t="shared" si="21"/>
        <v>663.69999999999993</v>
      </c>
      <c r="F82" s="67">
        <f t="shared" si="21"/>
        <v>651.09999999999991</v>
      </c>
      <c r="G82" s="67">
        <f t="shared" si="21"/>
        <v>563.6</v>
      </c>
      <c r="H82" s="67">
        <f t="shared" si="21"/>
        <v>592.1</v>
      </c>
      <c r="I82" s="67">
        <f t="shared" si="21"/>
        <v>562.4</v>
      </c>
      <c r="J82" s="67">
        <f t="shared" si="21"/>
        <v>590</v>
      </c>
      <c r="K82" s="67">
        <f t="shared" si="21"/>
        <v>615.70000000000005</v>
      </c>
      <c r="L82" s="67">
        <f t="shared" si="21"/>
        <v>615.80000000000007</v>
      </c>
      <c r="M82" s="67">
        <f t="shared" si="21"/>
        <v>650.79999999999995</v>
      </c>
      <c r="N82" s="67">
        <f t="shared" si="21"/>
        <v>625.70000000000005</v>
      </c>
      <c r="O82" s="67">
        <f t="shared" si="21"/>
        <v>650.40000000000009</v>
      </c>
      <c r="P82" s="67">
        <f t="shared" si="21"/>
        <v>666.40000000000009</v>
      </c>
      <c r="Q82" s="67">
        <f t="shared" si="21"/>
        <v>715.19999999999993</v>
      </c>
      <c r="R82" s="67">
        <f t="shared" si="21"/>
        <v>723.1</v>
      </c>
      <c r="S82" s="67">
        <f t="shared" si="21"/>
        <v>724.69999999999993</v>
      </c>
      <c r="T82" s="67">
        <f t="shared" si="21"/>
        <v>674.6</v>
      </c>
      <c r="U82" s="67">
        <f t="shared" si="21"/>
        <v>674</v>
      </c>
      <c r="V82" s="67">
        <f t="shared" si="21"/>
        <v>613.29999999999995</v>
      </c>
      <c r="W82" s="67">
        <f t="shared" ref="W82:X82" si="22">SUMIF(W71:W81,"&gt;0")</f>
        <v>615</v>
      </c>
      <c r="X82" s="67">
        <f t="shared" si="22"/>
        <v>612.6</v>
      </c>
      <c r="Y82" s="67">
        <f t="shared" ref="Y82" si="23">SUMIF(Y71:Y81,"&gt;0")</f>
        <v>612.6</v>
      </c>
      <c r="Z82" s="67">
        <v>464.4</v>
      </c>
      <c r="AA82" s="67">
        <f t="shared" si="21"/>
        <v>269.5</v>
      </c>
      <c r="AB82" s="67">
        <f t="shared" si="21"/>
        <v>401.9</v>
      </c>
      <c r="AC82" s="67">
        <f t="shared" si="21"/>
        <v>441.8</v>
      </c>
      <c r="AD82" s="67">
        <f t="shared" si="21"/>
        <v>490.5</v>
      </c>
      <c r="AE82" s="67">
        <f t="shared" si="21"/>
        <v>407.1</v>
      </c>
      <c r="AF82" s="67">
        <f t="shared" si="21"/>
        <v>388</v>
      </c>
      <c r="AG82" s="95">
        <f>SUM(AG71:AG81)</f>
        <v>0</v>
      </c>
      <c r="AH82" s="52">
        <f t="shared" si="19"/>
        <v>724.69999999999993</v>
      </c>
      <c r="AI82" s="53">
        <f t="shared" si="20"/>
        <v>269.5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9"/>
        <v>0</v>
      </c>
      <c r="AI83" s="53">
        <f t="shared" si="20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9"/>
        <v>0</v>
      </c>
      <c r="AI84" s="53">
        <f t="shared" si="20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9"/>
        <v>0</v>
      </c>
      <c r="AI85" s="53">
        <f t="shared" si="20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>
        <v>0</v>
      </c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9"/>
        <v>0</v>
      </c>
      <c r="AI86" s="53">
        <f t="shared" si="20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:AG87" si="24">B48+B52+B70+B66+B82+B86</f>
        <v>1213.6399999999999</v>
      </c>
      <c r="C87" s="102">
        <f t="shared" si="24"/>
        <v>1108.54</v>
      </c>
      <c r="D87" s="102">
        <f t="shared" si="24"/>
        <v>1100.24</v>
      </c>
      <c r="E87" s="102">
        <f t="shared" si="24"/>
        <v>1162.9399999999998</v>
      </c>
      <c r="F87" s="102">
        <f t="shared" si="24"/>
        <v>1179.1399999999999</v>
      </c>
      <c r="G87" s="102">
        <f t="shared" si="24"/>
        <v>1195.2399999999998</v>
      </c>
      <c r="H87" s="102">
        <f t="shared" si="24"/>
        <v>1217.7399999999998</v>
      </c>
      <c r="I87" s="102">
        <f t="shared" si="24"/>
        <v>1148.04</v>
      </c>
      <c r="J87" s="102">
        <f t="shared" si="24"/>
        <v>1212.7399999999998</v>
      </c>
      <c r="K87" s="102">
        <f t="shared" si="24"/>
        <v>1239.6399999999999</v>
      </c>
      <c r="L87" s="102">
        <f t="shared" si="24"/>
        <v>1337.7399999999998</v>
      </c>
      <c r="M87" s="102">
        <f t="shared" si="24"/>
        <v>1360.6399999999999</v>
      </c>
      <c r="N87" s="102">
        <f t="shared" si="24"/>
        <v>1342.04</v>
      </c>
      <c r="O87" s="102">
        <f t="shared" si="24"/>
        <v>1403.3400000000001</v>
      </c>
      <c r="P87" s="102">
        <f t="shared" si="24"/>
        <v>1498.3400000000001</v>
      </c>
      <c r="Q87" s="102">
        <f t="shared" si="24"/>
        <v>1558.3399999999997</v>
      </c>
      <c r="R87" s="102">
        <f t="shared" si="24"/>
        <v>1540.7399999999998</v>
      </c>
      <c r="S87" s="102">
        <f t="shared" si="24"/>
        <v>1542.3399999999997</v>
      </c>
      <c r="T87" s="102">
        <f t="shared" si="24"/>
        <v>1492.2399999999998</v>
      </c>
      <c r="U87" s="102">
        <f t="shared" si="24"/>
        <v>1570.04</v>
      </c>
      <c r="V87" s="102">
        <f t="shared" si="24"/>
        <v>1453.6399999999999</v>
      </c>
      <c r="W87" s="102">
        <f t="shared" ref="W87:X87" si="25">W48+W52+W70+W66+W82+W86</f>
        <v>1401.34</v>
      </c>
      <c r="X87" s="102">
        <f t="shared" si="25"/>
        <v>1424.44</v>
      </c>
      <c r="Y87" s="102">
        <f t="shared" ref="Y87" si="26">Y48+Y52+Y70+Y66+Y82+Y86</f>
        <v>1430.54</v>
      </c>
      <c r="Z87" s="102">
        <v>1467.6399999999999</v>
      </c>
      <c r="AA87" s="102">
        <f t="shared" si="24"/>
        <v>1137.8399999999999</v>
      </c>
      <c r="AB87" s="102">
        <f t="shared" si="24"/>
        <v>1268.2399999999998</v>
      </c>
      <c r="AC87" s="102">
        <f t="shared" si="24"/>
        <v>1280.04</v>
      </c>
      <c r="AD87" s="102">
        <f t="shared" si="24"/>
        <v>1245.6399999999999</v>
      </c>
      <c r="AE87" s="102">
        <f t="shared" si="24"/>
        <v>1320.8400000000001</v>
      </c>
      <c r="AF87" s="102">
        <f t="shared" si="24"/>
        <v>1340.6399999999999</v>
      </c>
      <c r="AG87" s="68">
        <f t="shared" si="24"/>
        <v>2065.09</v>
      </c>
      <c r="AH87" s="52">
        <f>MAX(B87:AF87)</f>
        <v>1570.04</v>
      </c>
      <c r="AI87" s="53">
        <f>MIN(B87:AF87)</f>
        <v>1100.24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>
        <v>150</v>
      </c>
      <c r="C88" s="104"/>
      <c r="D88" s="104"/>
      <c r="E88" s="104"/>
      <c r="F88" s="104"/>
      <c r="G88" s="104"/>
      <c r="H88" s="104"/>
      <c r="I88" s="104"/>
      <c r="J88" s="104">
        <v>75</v>
      </c>
      <c r="K88" s="104">
        <v>75</v>
      </c>
      <c r="L88" s="104">
        <v>75</v>
      </c>
      <c r="M88" s="104">
        <v>75</v>
      </c>
      <c r="N88" s="104">
        <v>75</v>
      </c>
      <c r="O88" s="104">
        <v>50</v>
      </c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>
        <v>250</v>
      </c>
      <c r="AA88" s="104">
        <v>320</v>
      </c>
      <c r="AB88" s="104">
        <v>250</v>
      </c>
      <c r="AC88" s="104"/>
      <c r="AD88" s="104"/>
      <c r="AE88" s="104"/>
      <c r="AF88" s="104"/>
      <c r="AG88" s="95"/>
      <c r="AH88" s="52">
        <f t="shared" si="19"/>
        <v>320</v>
      </c>
      <c r="AI88" s="53">
        <f t="shared" si="20"/>
        <v>50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:AF89" si="27">B87+B88</f>
        <v>1363.6399999999999</v>
      </c>
      <c r="C89" s="102">
        <f t="shared" si="27"/>
        <v>1108.54</v>
      </c>
      <c r="D89" s="102">
        <f t="shared" si="27"/>
        <v>1100.24</v>
      </c>
      <c r="E89" s="102">
        <f t="shared" si="27"/>
        <v>1162.9399999999998</v>
      </c>
      <c r="F89" s="102">
        <f t="shared" si="27"/>
        <v>1179.1399999999999</v>
      </c>
      <c r="G89" s="102">
        <f t="shared" si="27"/>
        <v>1195.2399999999998</v>
      </c>
      <c r="H89" s="102">
        <f t="shared" si="27"/>
        <v>1217.7399999999998</v>
      </c>
      <c r="I89" s="102">
        <f t="shared" si="27"/>
        <v>1148.04</v>
      </c>
      <c r="J89" s="102">
        <f t="shared" si="27"/>
        <v>1287.7399999999998</v>
      </c>
      <c r="K89" s="102">
        <f t="shared" si="27"/>
        <v>1314.6399999999999</v>
      </c>
      <c r="L89" s="102">
        <f t="shared" si="27"/>
        <v>1412.7399999999998</v>
      </c>
      <c r="M89" s="102">
        <f t="shared" si="27"/>
        <v>1435.6399999999999</v>
      </c>
      <c r="N89" s="102">
        <f t="shared" si="27"/>
        <v>1417.04</v>
      </c>
      <c r="O89" s="102">
        <f t="shared" si="27"/>
        <v>1453.3400000000001</v>
      </c>
      <c r="P89" s="102">
        <f t="shared" si="27"/>
        <v>1498.3400000000001</v>
      </c>
      <c r="Q89" s="102">
        <f t="shared" si="27"/>
        <v>1558.3399999999997</v>
      </c>
      <c r="R89" s="102">
        <f t="shared" si="27"/>
        <v>1540.7399999999998</v>
      </c>
      <c r="S89" s="102">
        <f t="shared" si="27"/>
        <v>1542.3399999999997</v>
      </c>
      <c r="T89" s="102">
        <f t="shared" si="27"/>
        <v>1492.2399999999998</v>
      </c>
      <c r="U89" s="102">
        <f t="shared" si="27"/>
        <v>1570.04</v>
      </c>
      <c r="V89" s="102">
        <f t="shared" si="27"/>
        <v>1453.6399999999999</v>
      </c>
      <c r="W89" s="102">
        <f t="shared" ref="W89:X89" si="28">W87+W88</f>
        <v>1401.34</v>
      </c>
      <c r="X89" s="102">
        <f t="shared" si="28"/>
        <v>1424.44</v>
      </c>
      <c r="Y89" s="102">
        <f t="shared" ref="Y89" si="29">Y87+Y88</f>
        <v>1430.54</v>
      </c>
      <c r="Z89" s="102">
        <v>1717.6399999999999</v>
      </c>
      <c r="AA89" s="102">
        <f t="shared" si="27"/>
        <v>1457.84</v>
      </c>
      <c r="AB89" s="102">
        <f t="shared" si="27"/>
        <v>1518.2399999999998</v>
      </c>
      <c r="AC89" s="102">
        <f t="shared" si="27"/>
        <v>1280.04</v>
      </c>
      <c r="AD89" s="102">
        <f t="shared" si="27"/>
        <v>1245.6399999999999</v>
      </c>
      <c r="AE89" s="102">
        <f t="shared" si="27"/>
        <v>1320.8400000000001</v>
      </c>
      <c r="AF89" s="102">
        <f t="shared" si="27"/>
        <v>1340.6399999999999</v>
      </c>
      <c r="AG89" s="95">
        <f>AG86+AG82+AG70+AG66+AG48+AG88</f>
        <v>1526.99</v>
      </c>
      <c r="AH89" s="52">
        <f t="shared" si="19"/>
        <v>1717.6399999999999</v>
      </c>
      <c r="AI89" s="53">
        <f t="shared" si="20"/>
        <v>1100.24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:AF90" si="30">B89-B97</f>
        <v>1363.6399999999999</v>
      </c>
      <c r="C90" s="102">
        <f t="shared" si="30"/>
        <v>1108.54</v>
      </c>
      <c r="D90" s="102">
        <f t="shared" si="30"/>
        <v>1100.24</v>
      </c>
      <c r="E90" s="102">
        <f t="shared" si="30"/>
        <v>1162.9399999999998</v>
      </c>
      <c r="F90" s="102">
        <f t="shared" si="30"/>
        <v>1179.1399999999999</v>
      </c>
      <c r="G90" s="102">
        <f t="shared" si="30"/>
        <v>1195.2399999999998</v>
      </c>
      <c r="H90" s="102">
        <f t="shared" si="30"/>
        <v>1217.7399999999998</v>
      </c>
      <c r="I90" s="102">
        <f t="shared" si="30"/>
        <v>1148.04</v>
      </c>
      <c r="J90" s="102">
        <f t="shared" si="30"/>
        <v>1287.7399999999998</v>
      </c>
      <c r="K90" s="102">
        <f t="shared" si="30"/>
        <v>1314.6399999999999</v>
      </c>
      <c r="L90" s="102">
        <f t="shared" si="30"/>
        <v>1412.7399999999998</v>
      </c>
      <c r="M90" s="102">
        <f t="shared" si="30"/>
        <v>1435.6399999999999</v>
      </c>
      <c r="N90" s="102">
        <f t="shared" si="30"/>
        <v>1417.04</v>
      </c>
      <c r="O90" s="102">
        <f t="shared" si="30"/>
        <v>1453.3400000000001</v>
      </c>
      <c r="P90" s="102">
        <f t="shared" si="30"/>
        <v>1498.3400000000001</v>
      </c>
      <c r="Q90" s="102">
        <f t="shared" si="30"/>
        <v>1558.3399999999997</v>
      </c>
      <c r="R90" s="102">
        <f t="shared" si="30"/>
        <v>1540.7399999999998</v>
      </c>
      <c r="S90" s="102">
        <f t="shared" si="30"/>
        <v>1542.3399999999997</v>
      </c>
      <c r="T90" s="102">
        <f t="shared" si="30"/>
        <v>1492.2399999999998</v>
      </c>
      <c r="U90" s="102">
        <f t="shared" si="30"/>
        <v>1570.04</v>
      </c>
      <c r="V90" s="102">
        <f t="shared" si="30"/>
        <v>1453.6399999999999</v>
      </c>
      <c r="W90" s="102">
        <f t="shared" ref="W90:X90" si="31">W89-W97</f>
        <v>1401.34</v>
      </c>
      <c r="X90" s="102">
        <f t="shared" si="31"/>
        <v>1424.44</v>
      </c>
      <c r="Y90" s="102">
        <f t="shared" ref="Y90" si="32">Y89-Y97</f>
        <v>1430.54</v>
      </c>
      <c r="Z90" s="102">
        <v>1717.6399999999999</v>
      </c>
      <c r="AA90" s="102">
        <f t="shared" si="30"/>
        <v>1457.84</v>
      </c>
      <c r="AB90" s="102">
        <f t="shared" si="30"/>
        <v>1518.2399999999998</v>
      </c>
      <c r="AC90" s="102">
        <f t="shared" si="30"/>
        <v>1280.04</v>
      </c>
      <c r="AD90" s="102">
        <f t="shared" si="30"/>
        <v>1245.6399999999999</v>
      </c>
      <c r="AE90" s="102">
        <f t="shared" si="30"/>
        <v>1320.8400000000001</v>
      </c>
      <c r="AF90" s="102">
        <f t="shared" si="30"/>
        <v>1340.6399999999999</v>
      </c>
      <c r="AG90" s="95"/>
      <c r="AH90" s="52">
        <f t="shared" si="19"/>
        <v>1717.6399999999999</v>
      </c>
      <c r="AI90" s="53">
        <f t="shared" si="20"/>
        <v>1100.24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9"/>
        <v>0</v>
      </c>
      <c r="AI91" s="53">
        <f t="shared" si="20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9"/>
        <v>0</v>
      </c>
      <c r="AI92" s="53">
        <f t="shared" si="20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9"/>
        <v>0</v>
      </c>
      <c r="AI93" s="53">
        <f t="shared" si="20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9"/>
        <v>0</v>
      </c>
      <c r="AI94" s="53">
        <f t="shared" si="20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9"/>
        <v>0</v>
      </c>
      <c r="AI95" s="53">
        <f t="shared" si="20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9"/>
        <v>0</v>
      </c>
      <c r="AI96" s="53">
        <f t="shared" si="20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>
        <v>0</v>
      </c>
      <c r="AA97" s="67"/>
      <c r="AB97" s="67"/>
      <c r="AC97" s="67"/>
      <c r="AD97" s="67"/>
      <c r="AE97" s="67"/>
      <c r="AF97" s="67"/>
      <c r="AG97" s="95"/>
      <c r="AH97" s="52">
        <f t="shared" si="19"/>
        <v>0</v>
      </c>
      <c r="AI97" s="53">
        <f t="shared" si="20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:AF98" si="33">B82-B97</f>
        <v>585.29999999999995</v>
      </c>
      <c r="C98" s="67">
        <f t="shared" si="33"/>
        <v>629.80000000000007</v>
      </c>
      <c r="D98" s="67">
        <f t="shared" si="33"/>
        <v>621.5</v>
      </c>
      <c r="E98" s="67">
        <f t="shared" si="33"/>
        <v>663.69999999999993</v>
      </c>
      <c r="F98" s="67">
        <f t="shared" si="33"/>
        <v>651.09999999999991</v>
      </c>
      <c r="G98" s="67">
        <f t="shared" si="33"/>
        <v>563.6</v>
      </c>
      <c r="H98" s="67">
        <f t="shared" si="33"/>
        <v>592.1</v>
      </c>
      <c r="I98" s="67">
        <f t="shared" si="33"/>
        <v>562.4</v>
      </c>
      <c r="J98" s="67">
        <f t="shared" si="33"/>
        <v>590</v>
      </c>
      <c r="K98" s="67">
        <f t="shared" si="33"/>
        <v>615.70000000000005</v>
      </c>
      <c r="L98" s="67">
        <f t="shared" si="33"/>
        <v>615.80000000000007</v>
      </c>
      <c r="M98" s="67">
        <f t="shared" si="33"/>
        <v>650.79999999999995</v>
      </c>
      <c r="N98" s="67">
        <f t="shared" si="33"/>
        <v>625.70000000000005</v>
      </c>
      <c r="O98" s="67">
        <f t="shared" si="33"/>
        <v>650.40000000000009</v>
      </c>
      <c r="P98" s="67">
        <f t="shared" si="33"/>
        <v>666.40000000000009</v>
      </c>
      <c r="Q98" s="67">
        <f t="shared" si="33"/>
        <v>715.19999999999993</v>
      </c>
      <c r="R98" s="67">
        <f t="shared" si="33"/>
        <v>723.1</v>
      </c>
      <c r="S98" s="67">
        <f t="shared" si="33"/>
        <v>724.69999999999993</v>
      </c>
      <c r="T98" s="67">
        <f t="shared" si="33"/>
        <v>674.6</v>
      </c>
      <c r="U98" s="67">
        <f t="shared" si="33"/>
        <v>674</v>
      </c>
      <c r="V98" s="67">
        <f t="shared" si="33"/>
        <v>613.29999999999995</v>
      </c>
      <c r="W98" s="67">
        <f t="shared" ref="W98:X98" si="34">W82-W97</f>
        <v>615</v>
      </c>
      <c r="X98" s="67">
        <f t="shared" si="34"/>
        <v>612.6</v>
      </c>
      <c r="Y98" s="67">
        <f t="shared" ref="Y98" si="35">Y82-Y97</f>
        <v>612.6</v>
      </c>
      <c r="Z98" s="67">
        <v>464.4</v>
      </c>
      <c r="AA98" s="67">
        <f t="shared" si="33"/>
        <v>269.5</v>
      </c>
      <c r="AB98" s="67">
        <f t="shared" si="33"/>
        <v>401.9</v>
      </c>
      <c r="AC98" s="67">
        <f t="shared" si="33"/>
        <v>441.8</v>
      </c>
      <c r="AD98" s="67">
        <f t="shared" si="33"/>
        <v>490.5</v>
      </c>
      <c r="AE98" s="67">
        <f t="shared" si="33"/>
        <v>407.1</v>
      </c>
      <c r="AF98" s="67">
        <f t="shared" si="33"/>
        <v>388</v>
      </c>
      <c r="AG98" s="95"/>
      <c r="AH98" s="52">
        <f t="shared" si="19"/>
        <v>724.69999999999993</v>
      </c>
      <c r="AI98" s="53">
        <f t="shared" si="20"/>
        <v>269.5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49.97</v>
      </c>
      <c r="C99" s="108">
        <v>50.015000000000001</v>
      </c>
      <c r="D99" s="108">
        <v>50.02</v>
      </c>
      <c r="E99" s="108">
        <v>50.048999999999999</v>
      </c>
      <c r="F99" s="108">
        <v>49.917999999999999</v>
      </c>
      <c r="G99" s="108">
        <v>49.969000000000001</v>
      </c>
      <c r="H99" s="108">
        <v>50.039000000000001</v>
      </c>
      <c r="I99" s="108">
        <v>50</v>
      </c>
      <c r="J99" s="108">
        <v>49.993000000000002</v>
      </c>
      <c r="K99" s="108">
        <v>50.058999999999997</v>
      </c>
      <c r="L99" s="108">
        <v>50.006999999999998</v>
      </c>
      <c r="M99" s="108">
        <v>50.088000000000001</v>
      </c>
      <c r="N99" s="108">
        <v>50.061999999999998</v>
      </c>
      <c r="O99" s="108">
        <v>49.97</v>
      </c>
      <c r="P99" s="108">
        <v>49.96</v>
      </c>
      <c r="Q99" s="108">
        <v>49.945999999999998</v>
      </c>
      <c r="R99" s="108">
        <v>49.991999999999997</v>
      </c>
      <c r="S99" s="108">
        <v>49.89</v>
      </c>
      <c r="T99" s="108">
        <v>49.89</v>
      </c>
      <c r="U99" s="108">
        <v>50.052999999999997</v>
      </c>
      <c r="V99" s="108">
        <v>49.93</v>
      </c>
      <c r="W99" s="108">
        <v>49.93</v>
      </c>
      <c r="X99" s="108">
        <v>49.95</v>
      </c>
      <c r="Y99" s="108">
        <v>49.95</v>
      </c>
      <c r="Z99" s="108">
        <v>50.02</v>
      </c>
      <c r="AA99" s="108">
        <v>49.96</v>
      </c>
      <c r="AB99" s="108">
        <v>50.067</v>
      </c>
      <c r="AC99" s="108">
        <v>50.045999999999999</v>
      </c>
      <c r="AD99" s="108">
        <v>50.058</v>
      </c>
      <c r="AE99" s="108">
        <v>50.023000000000003</v>
      </c>
      <c r="AF99" s="108">
        <v>49.927999999999997</v>
      </c>
      <c r="AG99" s="109"/>
      <c r="AH99" s="52">
        <f t="shared" si="19"/>
        <v>50.088000000000001</v>
      </c>
      <c r="AI99" s="53">
        <f t="shared" si="20"/>
        <v>49.89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127.1</v>
      </c>
      <c r="C100" s="72">
        <v>128.80000000000001</v>
      </c>
      <c r="D100" s="72">
        <v>126.5</v>
      </c>
      <c r="E100" s="72">
        <v>127.8</v>
      </c>
      <c r="F100" s="72">
        <v>127.8</v>
      </c>
      <c r="G100" s="72">
        <v>129</v>
      </c>
      <c r="H100" s="72">
        <v>128.1</v>
      </c>
      <c r="I100" s="72">
        <v>129.6</v>
      </c>
      <c r="J100" s="72">
        <v>128.1</v>
      </c>
      <c r="K100" s="72">
        <v>127.5</v>
      </c>
      <c r="L100" s="72">
        <v>126.1</v>
      </c>
      <c r="M100" s="72">
        <v>124.7</v>
      </c>
      <c r="N100" s="72">
        <v>126</v>
      </c>
      <c r="O100" s="72">
        <v>123.5</v>
      </c>
      <c r="P100" s="72">
        <v>124.7</v>
      </c>
      <c r="Q100" s="72">
        <v>124.4</v>
      </c>
      <c r="R100" s="72">
        <v>125.2</v>
      </c>
      <c r="S100" s="72">
        <v>125.2</v>
      </c>
      <c r="T100" s="72">
        <v>125.2</v>
      </c>
      <c r="U100" s="72">
        <v>124.2</v>
      </c>
      <c r="V100" s="72">
        <v>127.8</v>
      </c>
      <c r="W100" s="72">
        <v>127.8</v>
      </c>
      <c r="X100" s="72">
        <v>126.8</v>
      </c>
      <c r="Y100" s="72">
        <v>126.8</v>
      </c>
      <c r="Z100" s="72">
        <v>127.3</v>
      </c>
      <c r="AA100" s="72">
        <v>129.19999999999999</v>
      </c>
      <c r="AB100" s="72">
        <v>130</v>
      </c>
      <c r="AC100" s="72">
        <v>128.5</v>
      </c>
      <c r="AD100" s="72">
        <v>129.1</v>
      </c>
      <c r="AE100" s="72">
        <v>125.5</v>
      </c>
      <c r="AF100" s="72">
        <v>125.5</v>
      </c>
      <c r="AG100" s="111"/>
      <c r="AH100" s="52">
        <f t="shared" si="19"/>
        <v>130</v>
      </c>
      <c r="AI100" s="53">
        <f t="shared" si="20"/>
        <v>123.5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131.19999999999999</v>
      </c>
      <c r="C101" s="72">
        <v>132.80000000000001</v>
      </c>
      <c r="D101" s="72">
        <v>130.6</v>
      </c>
      <c r="E101" s="72">
        <v>132</v>
      </c>
      <c r="F101" s="72">
        <v>132</v>
      </c>
      <c r="G101" s="72">
        <v>132</v>
      </c>
      <c r="H101" s="72">
        <v>131.6</v>
      </c>
      <c r="I101" s="72">
        <v>132.4</v>
      </c>
      <c r="J101" s="72">
        <v>130.19999999999999</v>
      </c>
      <c r="K101" s="72">
        <v>129.69999999999999</v>
      </c>
      <c r="L101" s="72">
        <v>128.5</v>
      </c>
      <c r="M101" s="72">
        <v>127.5</v>
      </c>
      <c r="N101" s="72">
        <v>128.69999999999999</v>
      </c>
      <c r="O101" s="72">
        <v>127.5</v>
      </c>
      <c r="P101" s="72">
        <v>128.1</v>
      </c>
      <c r="Q101" s="72">
        <v>128.30000000000001</v>
      </c>
      <c r="R101" s="72">
        <v>128.30000000000001</v>
      </c>
      <c r="S101" s="72">
        <v>128.30000000000001</v>
      </c>
      <c r="T101" s="72">
        <v>128.30000000000001</v>
      </c>
      <c r="U101" s="72">
        <v>128</v>
      </c>
      <c r="V101" s="72">
        <v>130</v>
      </c>
      <c r="W101" s="72">
        <v>130</v>
      </c>
      <c r="X101" s="72">
        <v>129.19999999999999</v>
      </c>
      <c r="Y101" s="72">
        <v>129.19999999999999</v>
      </c>
      <c r="Z101" s="72">
        <v>130</v>
      </c>
      <c r="AA101" s="72">
        <v>131.6</v>
      </c>
      <c r="AB101" s="72">
        <v>132</v>
      </c>
      <c r="AC101" s="72">
        <v>131.19999999999999</v>
      </c>
      <c r="AD101" s="72">
        <v>132.19999999999999</v>
      </c>
      <c r="AE101" s="72">
        <v>130.1</v>
      </c>
      <c r="AF101" s="72">
        <v>130.1</v>
      </c>
      <c r="AG101" s="111"/>
      <c r="AH101" s="52">
        <f t="shared" si="19"/>
        <v>132.80000000000001</v>
      </c>
      <c r="AI101" s="53">
        <f t="shared" si="20"/>
        <v>127.5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127</v>
      </c>
      <c r="C102" s="72">
        <v>127.5</v>
      </c>
      <c r="D102" s="72">
        <v>130.4</v>
      </c>
      <c r="E102" s="72">
        <v>130</v>
      </c>
      <c r="F102" s="72">
        <v>130</v>
      </c>
      <c r="G102" s="72">
        <v>130.69999999999999</v>
      </c>
      <c r="H102" s="72">
        <v>131.69999999999999</v>
      </c>
      <c r="I102" s="72">
        <v>130.19999999999999</v>
      </c>
      <c r="J102" s="72">
        <v>130.1</v>
      </c>
      <c r="K102" s="72">
        <v>130.5</v>
      </c>
      <c r="L102" s="72">
        <v>130</v>
      </c>
      <c r="M102" s="72">
        <v>128.19999999999999</v>
      </c>
      <c r="N102" s="72">
        <v>129.69999999999999</v>
      </c>
      <c r="O102" s="72">
        <v>129.5</v>
      </c>
      <c r="P102" s="72">
        <v>124.5</v>
      </c>
      <c r="Q102" s="72">
        <v>126.4</v>
      </c>
      <c r="R102" s="72">
        <v>123.4</v>
      </c>
      <c r="S102" s="72">
        <v>123.4</v>
      </c>
      <c r="T102" s="72">
        <v>123.4</v>
      </c>
      <c r="U102" s="72">
        <v>126.5</v>
      </c>
      <c r="V102" s="72">
        <v>126.2</v>
      </c>
      <c r="W102" s="72">
        <v>126.2</v>
      </c>
      <c r="X102" s="72">
        <v>127.5</v>
      </c>
      <c r="Y102" s="72">
        <v>127.5</v>
      </c>
      <c r="Z102" s="72">
        <v>128.4</v>
      </c>
      <c r="AA102" s="72">
        <v>0</v>
      </c>
      <c r="AB102" s="72">
        <v>127.8</v>
      </c>
      <c r="AC102" s="72">
        <v>127.8</v>
      </c>
      <c r="AD102" s="72">
        <v>130.30000000000001</v>
      </c>
      <c r="AE102" s="72">
        <v>157</v>
      </c>
      <c r="AF102" s="72">
        <v>157</v>
      </c>
      <c r="AG102" s="111"/>
      <c r="AH102" s="52">
        <f t="shared" si="19"/>
        <v>157</v>
      </c>
      <c r="AI102" s="53">
        <f t="shared" si="20"/>
        <v>0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9"/>
        <v>0</v>
      </c>
      <c r="AI103" s="53">
        <f t="shared" si="20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129.19999999999999</v>
      </c>
      <c r="C104" s="113">
        <v>132.6</v>
      </c>
      <c r="D104" s="113">
        <v>125.1</v>
      </c>
      <c r="E104" s="113">
        <v>132</v>
      </c>
      <c r="F104" s="113">
        <v>132</v>
      </c>
      <c r="G104" s="113">
        <v>132</v>
      </c>
      <c r="H104" s="113">
        <v>130.4</v>
      </c>
      <c r="I104" s="113">
        <v>136.30000000000001</v>
      </c>
      <c r="J104" s="113">
        <v>130.4</v>
      </c>
      <c r="K104" s="113">
        <v>131.5</v>
      </c>
      <c r="L104" s="113">
        <v>130.6</v>
      </c>
      <c r="M104" s="113">
        <v>130.80000000000001</v>
      </c>
      <c r="N104" s="113">
        <v>130.80000000000001</v>
      </c>
      <c r="O104" s="113">
        <v>133.19999999999999</v>
      </c>
      <c r="P104" s="113">
        <v>132.5</v>
      </c>
      <c r="Q104" s="113">
        <v>131.19999999999999</v>
      </c>
      <c r="R104" s="113">
        <v>131.6</v>
      </c>
      <c r="S104" s="113">
        <v>131.6</v>
      </c>
      <c r="T104" s="113">
        <v>131.6</v>
      </c>
      <c r="U104" s="113">
        <v>131.19999999999999</v>
      </c>
      <c r="V104" s="113">
        <v>135.1</v>
      </c>
      <c r="W104" s="113">
        <v>135.1</v>
      </c>
      <c r="X104" s="113">
        <v>135.1</v>
      </c>
      <c r="Y104" s="113">
        <v>135.1</v>
      </c>
      <c r="Z104" s="113">
        <v>133.80000000000001</v>
      </c>
      <c r="AA104" s="113">
        <v>134.19999999999999</v>
      </c>
      <c r="AB104" s="113">
        <v>135</v>
      </c>
      <c r="AC104" s="113">
        <v>133.6</v>
      </c>
      <c r="AD104" s="113">
        <v>133.9</v>
      </c>
      <c r="AE104" s="113">
        <v>128</v>
      </c>
      <c r="AF104" s="113">
        <v>128</v>
      </c>
      <c r="AG104" s="114"/>
      <c r="AH104" s="52">
        <f t="shared" si="19"/>
        <v>136.30000000000001</v>
      </c>
      <c r="AI104" s="53">
        <f t="shared" si="20"/>
        <v>125.1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130.9</v>
      </c>
      <c r="C105" s="72">
        <v>125.9</v>
      </c>
      <c r="D105" s="72">
        <v>127.2</v>
      </c>
      <c r="E105" s="72">
        <v>130</v>
      </c>
      <c r="F105" s="72">
        <v>130</v>
      </c>
      <c r="G105" s="72">
        <v>130.9</v>
      </c>
      <c r="H105" s="72">
        <v>128.4</v>
      </c>
      <c r="I105" s="72">
        <v>132.1</v>
      </c>
      <c r="J105" s="72">
        <v>124.4</v>
      </c>
      <c r="K105" s="72">
        <v>129.1</v>
      </c>
      <c r="L105" s="72">
        <v>129.5</v>
      </c>
      <c r="M105" s="72">
        <v>125.7</v>
      </c>
      <c r="N105" s="72">
        <v>126</v>
      </c>
      <c r="O105" s="72">
        <v>120.8</v>
      </c>
      <c r="P105" s="72">
        <v>121.3</v>
      </c>
      <c r="Q105" s="72">
        <v>127.8</v>
      </c>
      <c r="R105" s="72">
        <v>128.1</v>
      </c>
      <c r="S105" s="72">
        <v>128.1</v>
      </c>
      <c r="T105" s="72">
        <v>128.1</v>
      </c>
      <c r="U105" s="72">
        <v>128.69999999999999</v>
      </c>
      <c r="V105" s="72">
        <v>128.69999999999999</v>
      </c>
      <c r="W105" s="72">
        <v>128.69999999999999</v>
      </c>
      <c r="X105" s="72">
        <v>128.69999999999999</v>
      </c>
      <c r="Y105" s="72">
        <v>128.69999999999999</v>
      </c>
      <c r="Z105" s="72">
        <v>128.69999999999999</v>
      </c>
      <c r="AA105" s="72">
        <v>122.7</v>
      </c>
      <c r="AB105" s="72">
        <v>131.4</v>
      </c>
      <c r="AC105" s="72">
        <v>132.5</v>
      </c>
      <c r="AD105" s="72">
        <v>133.6</v>
      </c>
      <c r="AE105" s="72">
        <v>132.5</v>
      </c>
      <c r="AF105" s="72">
        <v>132.5</v>
      </c>
      <c r="AG105" s="111"/>
      <c r="AH105" s="52">
        <f t="shared" si="19"/>
        <v>133.6</v>
      </c>
      <c r="AI105" s="53">
        <f t="shared" si="20"/>
        <v>120.8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65.8</v>
      </c>
      <c r="C106" s="99">
        <v>66.5</v>
      </c>
      <c r="D106" s="99">
        <v>65.599999999999994</v>
      </c>
      <c r="E106" s="99">
        <v>66.3</v>
      </c>
      <c r="F106" s="99">
        <v>66.3</v>
      </c>
      <c r="G106" s="99">
        <v>66.739999999999995</v>
      </c>
      <c r="H106" s="99">
        <v>66</v>
      </c>
      <c r="I106" s="99">
        <v>66.3</v>
      </c>
      <c r="J106" s="99">
        <v>65</v>
      </c>
      <c r="K106" s="99">
        <v>65</v>
      </c>
      <c r="L106" s="99">
        <v>64.7</v>
      </c>
      <c r="M106" s="99">
        <v>64.099999999999994</v>
      </c>
      <c r="N106" s="99">
        <v>64.400000000000006</v>
      </c>
      <c r="O106" s="99">
        <v>63.7</v>
      </c>
      <c r="P106" s="99">
        <v>63.8</v>
      </c>
      <c r="Q106" s="99">
        <v>64.2</v>
      </c>
      <c r="R106" s="99">
        <v>63.9</v>
      </c>
      <c r="S106" s="99">
        <v>63.9</v>
      </c>
      <c r="T106" s="99">
        <v>63.9</v>
      </c>
      <c r="U106" s="99">
        <v>63.7</v>
      </c>
      <c r="V106" s="99">
        <v>63.7</v>
      </c>
      <c r="W106" s="99">
        <v>63.7</v>
      </c>
      <c r="X106" s="99">
        <v>63.7</v>
      </c>
      <c r="Y106" s="99">
        <v>63.7</v>
      </c>
      <c r="Z106" s="99">
        <v>64.599999999999994</v>
      </c>
      <c r="AA106" s="99">
        <v>65.400000000000006</v>
      </c>
      <c r="AB106" s="99">
        <v>65.900000000000006</v>
      </c>
      <c r="AC106" s="99">
        <v>65</v>
      </c>
      <c r="AD106" s="99">
        <v>65.900000000000006</v>
      </c>
      <c r="AE106" s="99">
        <v>65</v>
      </c>
      <c r="AF106" s="99">
        <v>65</v>
      </c>
      <c r="AG106" s="115"/>
      <c r="AH106" s="52">
        <f t="shared" si="19"/>
        <v>66.739999999999995</v>
      </c>
      <c r="AI106" s="53">
        <f t="shared" si="20"/>
        <v>63.7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 t="s">
        <v>255</v>
      </c>
      <c r="AA107" s="99"/>
      <c r="AB107" s="99"/>
      <c r="AC107" s="99"/>
      <c r="AD107" s="99"/>
      <c r="AE107" s="99"/>
      <c r="AF107" s="99"/>
      <c r="AG107" s="115"/>
      <c r="AH107" s="52">
        <f t="shared" si="19"/>
        <v>0</v>
      </c>
      <c r="AI107" s="53">
        <f t="shared" si="20"/>
        <v>0</v>
      </c>
    </row>
    <row r="108" spans="1:88" ht="15.75" thickBot="1" x14ac:dyDescent="0.3">
      <c r="A108" s="117" t="s">
        <v>116</v>
      </c>
      <c r="B108" s="118">
        <f t="shared" ref="B108:AF108" si="36">SUM(B18,B24,B27:B28,B56,B58:B59,B61,B63,B109:B113,B135,B141,B147,B156,B158,B170,B177,B180:B181,B188,B190,B192,B196:B198,B200:B202,B207,B213:B214,B216:B218,B226,B231)</f>
        <v>131</v>
      </c>
      <c r="C108" s="118">
        <f t="shared" si="36"/>
        <v>121.44</v>
      </c>
      <c r="D108" s="118">
        <f t="shared" si="36"/>
        <v>115.74</v>
      </c>
      <c r="E108" s="118">
        <f t="shared" si="36"/>
        <v>113.63999999999999</v>
      </c>
      <c r="F108" s="118">
        <f t="shared" si="36"/>
        <v>119.63999999999999</v>
      </c>
      <c r="G108" s="118">
        <f t="shared" si="36"/>
        <v>141.34</v>
      </c>
      <c r="H108" s="118">
        <f t="shared" si="36"/>
        <v>141.54</v>
      </c>
      <c r="I108" s="118">
        <f t="shared" si="36"/>
        <v>162.13999999999999</v>
      </c>
      <c r="J108" s="118">
        <f t="shared" si="36"/>
        <v>227.44</v>
      </c>
      <c r="K108" s="118">
        <f t="shared" si="36"/>
        <v>241.94</v>
      </c>
      <c r="L108" s="118">
        <f t="shared" si="36"/>
        <v>263.94</v>
      </c>
      <c r="M108" s="118">
        <f t="shared" si="36"/>
        <v>292.74</v>
      </c>
      <c r="N108" s="118">
        <f t="shared" si="36"/>
        <v>288.44</v>
      </c>
      <c r="O108" s="118">
        <f t="shared" si="36"/>
        <v>296.33999999999997</v>
      </c>
      <c r="P108" s="118">
        <v>42</v>
      </c>
      <c r="Q108" s="118">
        <f t="shared" si="36"/>
        <v>262.10000000000002</v>
      </c>
      <c r="R108" s="118">
        <f t="shared" si="36"/>
        <v>237.6</v>
      </c>
      <c r="S108" s="118">
        <f t="shared" si="36"/>
        <v>237.5</v>
      </c>
      <c r="T108" s="118">
        <f t="shared" si="36"/>
        <v>237.5</v>
      </c>
      <c r="U108" s="118">
        <f t="shared" si="36"/>
        <v>287.89999999999998</v>
      </c>
      <c r="V108" s="118">
        <f t="shared" si="36"/>
        <v>287.89999999999998</v>
      </c>
      <c r="W108" s="118">
        <f t="shared" ref="W108:X108" si="37">SUM(W18,W24,W27:W28,W56,W58:W59,W61,W63,W109:W113,W135,W141,W147,W156,W158,W170,W177,W180:W181,W188,W190,W192,W196:W198,W200:W202,W207,W213:W214,W216:W218,W226,W231)</f>
        <v>287.89999999999998</v>
      </c>
      <c r="X108" s="118">
        <f t="shared" si="37"/>
        <v>287.89999999999998</v>
      </c>
      <c r="Y108" s="118">
        <f t="shared" ref="Y108" si="38">SUM(Y18,Y24,Y27:Y28,Y56,Y58:Y59,Y61,Y63,Y109:Y113,Y135,Y141,Y147,Y156,Y158,Y170,Y177,Y180:Y181,Y188,Y190,Y192,Y196:Y198,Y200:Y202,Y207,Y213:Y214,Y216:Y218,Y226,Y231)</f>
        <v>287.89999999999998</v>
      </c>
      <c r="Z108" s="118">
        <v>401.6970833333333</v>
      </c>
      <c r="AA108" s="118">
        <f t="shared" si="36"/>
        <v>311</v>
      </c>
      <c r="AB108" s="118">
        <f t="shared" si="36"/>
        <v>254.9</v>
      </c>
      <c r="AC108" s="118">
        <f t="shared" si="36"/>
        <v>243.8</v>
      </c>
      <c r="AD108" s="118">
        <f t="shared" si="36"/>
        <v>241.9</v>
      </c>
      <c r="AE108" s="118">
        <f t="shared" si="36"/>
        <v>158.4</v>
      </c>
      <c r="AF108" s="118">
        <f t="shared" si="36"/>
        <v>144.20000000000002</v>
      </c>
      <c r="AG108" s="119"/>
      <c r="AH108" s="52">
        <f t="shared" si="19"/>
        <v>401.6970833333333</v>
      </c>
      <c r="AI108" s="53">
        <f t="shared" si="20"/>
        <v>42</v>
      </c>
    </row>
    <row r="109" spans="1:88" x14ac:dyDescent="0.25">
      <c r="A109" s="107" t="s">
        <v>117</v>
      </c>
      <c r="B109" s="120">
        <v>-30.3</v>
      </c>
      <c r="C109" s="120">
        <v>-26.1</v>
      </c>
      <c r="D109" s="120">
        <v>-33.9</v>
      </c>
      <c r="E109" s="120">
        <v>-29.6</v>
      </c>
      <c r="F109" s="120">
        <v>-25.7</v>
      </c>
      <c r="G109" s="120">
        <v>-20</v>
      </c>
      <c r="H109" s="120">
        <v>-16.5</v>
      </c>
      <c r="I109" s="120">
        <v>-5.2</v>
      </c>
      <c r="J109" s="120">
        <v>7</v>
      </c>
      <c r="K109" s="120">
        <v>3.2</v>
      </c>
      <c r="L109" s="120">
        <v>2.9</v>
      </c>
      <c r="M109" s="120">
        <v>1.5</v>
      </c>
      <c r="N109" s="120">
        <v>5.9</v>
      </c>
      <c r="O109" s="120">
        <v>30.1</v>
      </c>
      <c r="P109" s="120">
        <v>30.3</v>
      </c>
      <c r="Q109" s="120">
        <v>25</v>
      </c>
      <c r="R109" s="120">
        <v>13.9</v>
      </c>
      <c r="S109" s="120">
        <v>16.5</v>
      </c>
      <c r="T109" s="120">
        <v>16.5</v>
      </c>
      <c r="U109" s="120">
        <v>13.7</v>
      </c>
      <c r="V109" s="120">
        <v>13.7</v>
      </c>
      <c r="W109" s="120">
        <v>13.7</v>
      </c>
      <c r="X109" s="120">
        <v>13.7</v>
      </c>
      <c r="Y109" s="120">
        <v>13.7</v>
      </c>
      <c r="Z109" s="120">
        <v>14.6</v>
      </c>
      <c r="AA109" s="120">
        <v>25.2</v>
      </c>
      <c r="AB109" s="120">
        <v>17.899999999999999</v>
      </c>
      <c r="AC109" s="120">
        <v>14.1</v>
      </c>
      <c r="AD109" s="120">
        <v>8.6</v>
      </c>
      <c r="AE109" s="120">
        <v>-3.4</v>
      </c>
      <c r="AF109" s="120">
        <v>-6.1</v>
      </c>
      <c r="AG109" s="121">
        <v>75</v>
      </c>
      <c r="AH109" s="52">
        <f t="shared" si="19"/>
        <v>30.3</v>
      </c>
      <c r="AI109" s="53">
        <f t="shared" si="20"/>
        <v>-33.9</v>
      </c>
    </row>
    <row r="110" spans="1:88" x14ac:dyDescent="0.25">
      <c r="A110" s="110" t="s">
        <v>118</v>
      </c>
      <c r="B110" s="122">
        <v>-42.4</v>
      </c>
      <c r="C110" s="122">
        <v>-36.1</v>
      </c>
      <c r="D110" s="122">
        <v>-46.1</v>
      </c>
      <c r="E110" s="122">
        <v>-40.4</v>
      </c>
      <c r="F110" s="122">
        <v>-34.4</v>
      </c>
      <c r="G110" s="122">
        <v>-27.3</v>
      </c>
      <c r="H110" s="122">
        <v>-23.7</v>
      </c>
      <c r="I110" s="122">
        <v>-11.1</v>
      </c>
      <c r="J110" s="122">
        <v>9</v>
      </c>
      <c r="K110" s="122">
        <v>2.8</v>
      </c>
      <c r="L110" s="122">
        <v>2.6</v>
      </c>
      <c r="M110" s="122">
        <v>0</v>
      </c>
      <c r="N110" s="122">
        <v>6.6</v>
      </c>
      <c r="O110" s="122">
        <v>37.4</v>
      </c>
      <c r="P110" s="122">
        <v>39</v>
      </c>
      <c r="Q110" s="122">
        <v>32.4</v>
      </c>
      <c r="R110" s="122">
        <v>17.399999999999999</v>
      </c>
      <c r="S110" s="122">
        <v>21.7</v>
      </c>
      <c r="T110" s="122">
        <v>21.7</v>
      </c>
      <c r="U110" s="122">
        <v>17.600000000000001</v>
      </c>
      <c r="V110" s="122">
        <v>17.600000000000001</v>
      </c>
      <c r="W110" s="122">
        <v>17.600000000000001</v>
      </c>
      <c r="X110" s="122">
        <v>17.600000000000001</v>
      </c>
      <c r="Y110" s="122">
        <v>17.600000000000001</v>
      </c>
      <c r="Z110" s="122">
        <v>15.9</v>
      </c>
      <c r="AA110" s="122">
        <v>30.7</v>
      </c>
      <c r="AB110" s="122">
        <v>19.5</v>
      </c>
      <c r="AC110" s="122">
        <v>15.6</v>
      </c>
      <c r="AD110" s="122">
        <v>10.4</v>
      </c>
      <c r="AE110" s="122">
        <v>-3.4</v>
      </c>
      <c r="AF110" s="122">
        <v>-7.8</v>
      </c>
      <c r="AG110" s="121">
        <v>240</v>
      </c>
      <c r="AH110" s="52">
        <f t="shared" si="19"/>
        <v>39</v>
      </c>
      <c r="AI110" s="53">
        <f t="shared" si="20"/>
        <v>-46.1</v>
      </c>
    </row>
    <row r="111" spans="1:88" x14ac:dyDescent="0.25">
      <c r="A111" s="110" t="s">
        <v>119</v>
      </c>
      <c r="B111" s="122">
        <v>-13</v>
      </c>
      <c r="C111" s="122">
        <v>-15</v>
      </c>
      <c r="D111" s="122">
        <v>-11</v>
      </c>
      <c r="E111" s="122">
        <v>-19.5</v>
      </c>
      <c r="F111" s="122">
        <v>-28</v>
      </c>
      <c r="G111" s="122">
        <v>-22</v>
      </c>
      <c r="H111" s="122">
        <v>-40.6</v>
      </c>
      <c r="I111" s="122">
        <v>-31</v>
      </c>
      <c r="J111" s="122">
        <v>-7</v>
      </c>
      <c r="K111" s="122">
        <v>5.6</v>
      </c>
      <c r="L111" s="122">
        <v>12</v>
      </c>
      <c r="M111" s="122">
        <f>21.4+17.4</f>
        <v>38.799999999999997</v>
      </c>
      <c r="N111" s="122">
        <v>28.7</v>
      </c>
      <c r="O111" s="122">
        <f>-1.7-10.7</f>
        <v>-12.399999999999999</v>
      </c>
      <c r="P111" s="122">
        <f>-2.6-12.3</f>
        <v>-14.9</v>
      </c>
      <c r="Q111" s="122">
        <v>-31</v>
      </c>
      <c r="R111" s="122">
        <v>-38</v>
      </c>
      <c r="S111" s="122">
        <f>-38.2-8</f>
        <v>-46.2</v>
      </c>
      <c r="T111" s="122">
        <f>-38.2-8</f>
        <v>-46.2</v>
      </c>
      <c r="U111" s="122">
        <v>1</v>
      </c>
      <c r="V111" s="122">
        <v>1</v>
      </c>
      <c r="W111" s="122">
        <v>1</v>
      </c>
      <c r="X111" s="122">
        <v>1</v>
      </c>
      <c r="Y111" s="122">
        <v>1</v>
      </c>
      <c r="Z111" s="122">
        <v>21.299999999999997</v>
      </c>
      <c r="AA111" s="122">
        <f>-19.4+12.1</f>
        <v>-7.2999999999999989</v>
      </c>
      <c r="AB111" s="122">
        <v>-10.199999999999999</v>
      </c>
      <c r="AC111" s="122">
        <v>-9</v>
      </c>
      <c r="AD111" s="122">
        <v>4.5</v>
      </c>
      <c r="AE111" s="122">
        <v>-44.5</v>
      </c>
      <c r="AF111" s="122">
        <v>-49</v>
      </c>
      <c r="AG111" s="121">
        <v>240</v>
      </c>
      <c r="AH111" s="52">
        <f t="shared" si="19"/>
        <v>38.799999999999997</v>
      </c>
      <c r="AI111" s="53">
        <f t="shared" si="20"/>
        <v>-49</v>
      </c>
    </row>
    <row r="112" spans="1:88" x14ac:dyDescent="0.25">
      <c r="A112" s="110" t="s">
        <v>120</v>
      </c>
      <c r="B112" s="122">
        <v>32.299999999999997</v>
      </c>
      <c r="C112" s="122">
        <v>33.1</v>
      </c>
      <c r="D112" s="122">
        <v>28.8</v>
      </c>
      <c r="E112" s="122">
        <v>28.6</v>
      </c>
      <c r="F112" s="122">
        <v>30.4</v>
      </c>
      <c r="G112" s="122">
        <v>30.6</v>
      </c>
      <c r="H112" s="122">
        <v>34.6</v>
      </c>
      <c r="I112" s="122">
        <v>27.8</v>
      </c>
      <c r="J112" s="122">
        <v>34.200000000000003</v>
      </c>
      <c r="K112" s="122">
        <v>33.700000000000003</v>
      </c>
      <c r="L112" s="122">
        <v>35.4</v>
      </c>
      <c r="M112" s="122">
        <v>35.700000000000003</v>
      </c>
      <c r="N112" s="122">
        <v>38.200000000000003</v>
      </c>
      <c r="O112" s="122">
        <v>41.6</v>
      </c>
      <c r="P112" s="122">
        <v>41.2</v>
      </c>
      <c r="Q112" s="122">
        <v>39</v>
      </c>
      <c r="R112" s="122">
        <v>39.799999999999997</v>
      </c>
      <c r="S112" s="122">
        <v>39.6</v>
      </c>
      <c r="T112" s="122">
        <v>39.6</v>
      </c>
      <c r="U112" s="122">
        <v>39</v>
      </c>
      <c r="V112" s="122">
        <v>39</v>
      </c>
      <c r="W112" s="122">
        <v>39</v>
      </c>
      <c r="X112" s="122">
        <v>39</v>
      </c>
      <c r="Y112" s="122">
        <v>39</v>
      </c>
      <c r="Z112" s="122">
        <v>57.3</v>
      </c>
      <c r="AA112" s="122">
        <v>54</v>
      </c>
      <c r="AB112" s="122">
        <v>50.8</v>
      </c>
      <c r="AC112" s="122">
        <v>35.1</v>
      </c>
      <c r="AD112" s="122">
        <v>34.9</v>
      </c>
      <c r="AE112" s="122">
        <v>35.5</v>
      </c>
      <c r="AF112" s="122">
        <v>32.9</v>
      </c>
      <c r="AG112" s="121">
        <v>60</v>
      </c>
      <c r="AH112" s="52">
        <f t="shared" si="19"/>
        <v>57.3</v>
      </c>
      <c r="AI112" s="53">
        <f t="shared" si="20"/>
        <v>27.8</v>
      </c>
    </row>
    <row r="113" spans="1:37" x14ac:dyDescent="0.25">
      <c r="A113" s="123" t="s">
        <v>121</v>
      </c>
      <c r="B113" s="124">
        <v>96.3</v>
      </c>
      <c r="C113" s="124">
        <v>76.5</v>
      </c>
      <c r="D113" s="124">
        <v>88.9</v>
      </c>
      <c r="E113" s="124">
        <v>84.9</v>
      </c>
      <c r="F113" s="124">
        <v>80.7</v>
      </c>
      <c r="G113" s="124">
        <v>80.400000000000006</v>
      </c>
      <c r="H113" s="124">
        <v>92.3</v>
      </c>
      <c r="I113" s="124">
        <v>86.2</v>
      </c>
      <c r="J113" s="124">
        <v>90.5</v>
      </c>
      <c r="K113" s="124">
        <v>101.5</v>
      </c>
      <c r="L113" s="124">
        <v>114.9</v>
      </c>
      <c r="M113" s="124">
        <v>116.2</v>
      </c>
      <c r="N113" s="124">
        <v>103.7</v>
      </c>
      <c r="O113" s="124">
        <v>91</v>
      </c>
      <c r="P113" s="124">
        <v>80</v>
      </c>
      <c r="Q113" s="124">
        <v>88.9</v>
      </c>
      <c r="R113" s="124">
        <v>98.9</v>
      </c>
      <c r="S113" s="124">
        <v>100.3</v>
      </c>
      <c r="T113" s="124">
        <v>100.3</v>
      </c>
      <c r="U113" s="124">
        <v>111</v>
      </c>
      <c r="V113" s="124">
        <v>111</v>
      </c>
      <c r="W113" s="124">
        <v>111</v>
      </c>
      <c r="X113" s="124">
        <v>111</v>
      </c>
      <c r="Y113" s="124">
        <v>111</v>
      </c>
      <c r="Z113" s="124">
        <v>116.2</v>
      </c>
      <c r="AA113" s="124">
        <v>102.8</v>
      </c>
      <c r="AB113" s="124">
        <v>84.5</v>
      </c>
      <c r="AC113" s="124">
        <v>95.6</v>
      </c>
      <c r="AD113" s="124">
        <v>91.1</v>
      </c>
      <c r="AE113" s="124">
        <v>81.8</v>
      </c>
      <c r="AF113" s="124">
        <v>81.8</v>
      </c>
      <c r="AG113" s="125">
        <v>120</v>
      </c>
      <c r="AH113" s="52">
        <f t="shared" si="19"/>
        <v>116.2</v>
      </c>
      <c r="AI113" s="53">
        <f t="shared" si="20"/>
        <v>76.5</v>
      </c>
    </row>
    <row r="114" spans="1:37" x14ac:dyDescent="0.25">
      <c r="A114" s="123" t="s">
        <v>122</v>
      </c>
      <c r="B114" s="124">
        <v>106</v>
      </c>
      <c r="C114" s="124">
        <v>85.7</v>
      </c>
      <c r="D114" s="124">
        <v>100.3</v>
      </c>
      <c r="E114" s="124">
        <v>98.9</v>
      </c>
      <c r="F114" s="124">
        <v>97.8</v>
      </c>
      <c r="G114" s="124">
        <v>88</v>
      </c>
      <c r="H114" s="124">
        <v>98.4</v>
      </c>
      <c r="I114" s="124">
        <v>84.6</v>
      </c>
      <c r="J114" s="124">
        <v>83.2</v>
      </c>
      <c r="K114" s="124">
        <v>89.8</v>
      </c>
      <c r="L114" s="124">
        <v>100.1</v>
      </c>
      <c r="M114" s="124">
        <v>102.3</v>
      </c>
      <c r="N114" s="124">
        <v>92.9</v>
      </c>
      <c r="O114" s="124">
        <v>101.2</v>
      </c>
      <c r="P114" s="124">
        <v>92.6</v>
      </c>
      <c r="Q114" s="124">
        <v>102.8</v>
      </c>
      <c r="R114" s="124">
        <v>103.4</v>
      </c>
      <c r="S114" s="124">
        <v>105.3</v>
      </c>
      <c r="T114" s="124">
        <v>105.3</v>
      </c>
      <c r="U114" s="124">
        <v>111</v>
      </c>
      <c r="V114" s="124">
        <v>111</v>
      </c>
      <c r="W114" s="124">
        <v>111</v>
      </c>
      <c r="X114" s="124">
        <v>111</v>
      </c>
      <c r="Y114" s="124">
        <v>111</v>
      </c>
      <c r="Z114" s="124">
        <v>102.9</v>
      </c>
      <c r="AA114" s="124">
        <v>78.7</v>
      </c>
      <c r="AB114" s="124">
        <v>85.2</v>
      </c>
      <c r="AC114" s="124">
        <v>92</v>
      </c>
      <c r="AD114" s="124">
        <v>87.9</v>
      </c>
      <c r="AE114" s="124">
        <v>104.2</v>
      </c>
      <c r="AF114" s="124">
        <v>104.2</v>
      </c>
      <c r="AG114" s="125"/>
      <c r="AH114" s="52">
        <f t="shared" si="19"/>
        <v>111</v>
      </c>
      <c r="AI114" s="53">
        <f t="shared" si="20"/>
        <v>78.7</v>
      </c>
    </row>
    <row r="115" spans="1:37" x14ac:dyDescent="0.25">
      <c r="A115" s="123" t="s">
        <v>123</v>
      </c>
      <c r="B115" s="124"/>
      <c r="C115" s="124"/>
      <c r="D115" s="124"/>
      <c r="E115" s="124"/>
      <c r="F115" s="124"/>
      <c r="G115" s="124"/>
      <c r="H115" s="124"/>
      <c r="I115" s="124">
        <v>42.7</v>
      </c>
      <c r="J115" s="124">
        <v>45.1</v>
      </c>
      <c r="K115" s="124">
        <v>51.5</v>
      </c>
      <c r="L115" s="124">
        <v>48.2</v>
      </c>
      <c r="M115" s="124">
        <v>49</v>
      </c>
      <c r="N115" s="124">
        <v>50.1</v>
      </c>
      <c r="O115" s="124">
        <v>55.2</v>
      </c>
      <c r="P115" s="124">
        <v>24.6</v>
      </c>
      <c r="Q115" s="124">
        <v>36</v>
      </c>
      <c r="R115" s="124"/>
      <c r="S115" s="124"/>
      <c r="T115" s="124"/>
      <c r="U115" s="124">
        <v>42</v>
      </c>
      <c r="V115" s="124">
        <v>42</v>
      </c>
      <c r="W115" s="124">
        <v>42</v>
      </c>
      <c r="X115" s="124">
        <v>42</v>
      </c>
      <c r="Y115" s="124">
        <v>42</v>
      </c>
      <c r="Z115" s="124">
        <v>36</v>
      </c>
      <c r="AA115" s="124">
        <v>34</v>
      </c>
      <c r="AB115" s="124">
        <v>37.200000000000003</v>
      </c>
      <c r="AC115" s="124">
        <v>36.6</v>
      </c>
      <c r="AD115" s="124">
        <v>37.4</v>
      </c>
      <c r="AE115" s="124">
        <v>57.7</v>
      </c>
      <c r="AF115" s="124">
        <v>57.7</v>
      </c>
      <c r="AG115" s="126"/>
      <c r="AH115" s="52">
        <f t="shared" si="19"/>
        <v>57.7</v>
      </c>
      <c r="AI115" s="53">
        <f t="shared" si="20"/>
        <v>24.6</v>
      </c>
    </row>
    <row r="116" spans="1:37" x14ac:dyDescent="0.25">
      <c r="A116" s="127" t="s">
        <v>124</v>
      </c>
      <c r="B116" s="113">
        <v>-37</v>
      </c>
      <c r="C116" s="113">
        <v>-37.6</v>
      </c>
      <c r="D116" s="113">
        <v>-17.3</v>
      </c>
      <c r="E116" s="113">
        <v>-24.4</v>
      </c>
      <c r="F116" s="113">
        <v>-19.7</v>
      </c>
      <c r="G116" s="113">
        <v>-19</v>
      </c>
      <c r="H116" s="113">
        <v>-11.5</v>
      </c>
      <c r="I116" s="113">
        <v>-13</v>
      </c>
      <c r="J116" s="113">
        <v>-11.6</v>
      </c>
      <c r="K116" s="113">
        <v>-13</v>
      </c>
      <c r="L116" s="113">
        <v>-14.8</v>
      </c>
      <c r="M116" s="113">
        <v>-35.4</v>
      </c>
      <c r="N116" s="113">
        <v>-33</v>
      </c>
      <c r="O116" s="113">
        <v>-36.4</v>
      </c>
      <c r="P116" s="113">
        <v>-34.799999999999997</v>
      </c>
      <c r="Q116" s="113">
        <v>-18</v>
      </c>
      <c r="R116" s="113">
        <v>-25</v>
      </c>
      <c r="S116" s="113">
        <v>-52.1</v>
      </c>
      <c r="T116" s="113">
        <v>-52.1</v>
      </c>
      <c r="U116" s="113">
        <v>-38</v>
      </c>
      <c r="V116" s="113">
        <v>-38</v>
      </c>
      <c r="W116" s="113">
        <v>-38</v>
      </c>
      <c r="X116" s="113">
        <v>-38</v>
      </c>
      <c r="Y116" s="113">
        <v>-38</v>
      </c>
      <c r="Z116" s="113">
        <v>-12.8</v>
      </c>
      <c r="AA116" s="113">
        <v>0</v>
      </c>
      <c r="AB116" s="113">
        <v>-6.4</v>
      </c>
      <c r="AC116" s="113">
        <v>-9</v>
      </c>
      <c r="AD116" s="113">
        <v>-28</v>
      </c>
      <c r="AE116" s="113">
        <v>-38.4</v>
      </c>
      <c r="AF116" s="113">
        <v>-38.4</v>
      </c>
      <c r="AG116" s="126"/>
      <c r="AH116" s="52">
        <f t="shared" si="19"/>
        <v>0</v>
      </c>
      <c r="AI116" s="53">
        <f t="shared" si="20"/>
        <v>-52.1</v>
      </c>
    </row>
    <row r="117" spans="1:37" ht="15.75" thickBot="1" x14ac:dyDescent="0.3">
      <c r="A117" s="127" t="s">
        <v>125</v>
      </c>
      <c r="B117" s="113">
        <v>110</v>
      </c>
      <c r="C117" s="113">
        <v>118</v>
      </c>
      <c r="D117" s="113">
        <v>63.8</v>
      </c>
      <c r="E117" s="113">
        <v>65.400000000000006</v>
      </c>
      <c r="F117" s="113">
        <v>64.7</v>
      </c>
      <c r="G117" s="113">
        <v>65.7</v>
      </c>
      <c r="H117" s="113">
        <v>55</v>
      </c>
      <c r="I117" s="113">
        <v>58.6</v>
      </c>
      <c r="J117" s="113">
        <v>67.2</v>
      </c>
      <c r="K117" s="113">
        <v>66.5</v>
      </c>
      <c r="L117" s="113">
        <v>65.8</v>
      </c>
      <c r="M117" s="113">
        <v>65.5</v>
      </c>
      <c r="N117" s="113">
        <v>65</v>
      </c>
      <c r="O117" s="113">
        <v>75</v>
      </c>
      <c r="P117" s="113">
        <v>71.8</v>
      </c>
      <c r="Q117" s="113">
        <v>82</v>
      </c>
      <c r="R117" s="113">
        <v>84.5</v>
      </c>
      <c r="S117" s="113">
        <v>80.3</v>
      </c>
      <c r="T117" s="113">
        <v>80.3</v>
      </c>
      <c r="U117" s="113">
        <v>76</v>
      </c>
      <c r="V117" s="113">
        <v>76</v>
      </c>
      <c r="W117" s="113">
        <v>76</v>
      </c>
      <c r="X117" s="113">
        <v>76</v>
      </c>
      <c r="Y117" s="113">
        <v>76</v>
      </c>
      <c r="Z117" s="113">
        <v>84.7</v>
      </c>
      <c r="AA117" s="113">
        <v>-11</v>
      </c>
      <c r="AB117" s="113">
        <v>4.8</v>
      </c>
      <c r="AC117" s="113">
        <v>3</v>
      </c>
      <c r="AD117" s="113">
        <v>60.5</v>
      </c>
      <c r="AE117" s="113">
        <v>65.8</v>
      </c>
      <c r="AF117" s="113">
        <v>65.8</v>
      </c>
      <c r="AG117" s="126"/>
      <c r="AH117" s="52">
        <f t="shared" si="19"/>
        <v>118</v>
      </c>
      <c r="AI117" s="53">
        <f t="shared" si="20"/>
        <v>-11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39">SUM(B119:B223)</f>
        <v>0</v>
      </c>
      <c r="C224" s="144">
        <f t="shared" si="39"/>
        <v>0</v>
      </c>
      <c r="D224" s="144">
        <f t="shared" si="39"/>
        <v>0</v>
      </c>
      <c r="E224" s="144">
        <f t="shared" si="39"/>
        <v>0</v>
      </c>
      <c r="F224" s="144">
        <f t="shared" si="39"/>
        <v>0</v>
      </c>
      <c r="G224" s="144">
        <f t="shared" si="39"/>
        <v>0</v>
      </c>
      <c r="H224" s="144">
        <f t="shared" si="39"/>
        <v>0</v>
      </c>
      <c r="I224" s="144">
        <f t="shared" si="39"/>
        <v>0</v>
      </c>
      <c r="J224" s="144">
        <f t="shared" si="39"/>
        <v>0</v>
      </c>
      <c r="K224" s="144">
        <f t="shared" si="39"/>
        <v>0</v>
      </c>
      <c r="L224" s="144">
        <f t="shared" si="39"/>
        <v>0</v>
      </c>
      <c r="M224" s="144">
        <f t="shared" si="39"/>
        <v>0</v>
      </c>
      <c r="N224" s="144">
        <f t="shared" si="39"/>
        <v>0</v>
      </c>
      <c r="O224" s="144">
        <f t="shared" si="39"/>
        <v>0</v>
      </c>
      <c r="P224" s="144">
        <f t="shared" si="39"/>
        <v>0</v>
      </c>
      <c r="Q224" s="144">
        <f t="shared" si="39"/>
        <v>0</v>
      </c>
      <c r="R224" s="144">
        <f t="shared" si="39"/>
        <v>0</v>
      </c>
      <c r="S224" s="144">
        <f t="shared" si="39"/>
        <v>0</v>
      </c>
      <c r="T224" s="144">
        <f t="shared" si="39"/>
        <v>0</v>
      </c>
      <c r="U224" s="144">
        <f t="shared" si="39"/>
        <v>0</v>
      </c>
      <c r="V224" s="144">
        <f t="shared" si="39"/>
        <v>0</v>
      </c>
      <c r="W224" s="144">
        <f t="shared" si="39"/>
        <v>0</v>
      </c>
      <c r="X224" s="144">
        <f t="shared" si="39"/>
        <v>0</v>
      </c>
      <c r="Y224" s="144">
        <f t="shared" si="39"/>
        <v>0</v>
      </c>
      <c r="Z224" s="144">
        <f t="shared" si="39"/>
        <v>0</v>
      </c>
      <c r="AA224" s="144">
        <f t="shared" si="39"/>
        <v>0</v>
      </c>
      <c r="AB224" s="144">
        <f t="shared" si="39"/>
        <v>0</v>
      </c>
      <c r="AC224" s="144">
        <f t="shared" si="39"/>
        <v>0</v>
      </c>
      <c r="AD224" s="144">
        <f t="shared" si="39"/>
        <v>0</v>
      </c>
      <c r="AE224" s="144">
        <f t="shared" si="39"/>
        <v>0</v>
      </c>
      <c r="AF224" s="145">
        <f t="shared" si="39"/>
        <v>0</v>
      </c>
      <c r="AG224" s="146">
        <f t="shared" si="39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40">AF226</f>
        <v>0</v>
      </c>
      <c r="C226" s="149">
        <v>0.3</v>
      </c>
      <c r="D226" s="149">
        <f t="shared" ref="D226:P231" si="41">C226</f>
        <v>0.3</v>
      </c>
      <c r="E226" s="149">
        <f t="shared" si="41"/>
        <v>0.3</v>
      </c>
      <c r="F226" s="149">
        <f t="shared" si="41"/>
        <v>0.3</v>
      </c>
      <c r="G226" s="149">
        <f t="shared" si="41"/>
        <v>0.3</v>
      </c>
      <c r="H226" s="149">
        <f t="shared" si="41"/>
        <v>0.3</v>
      </c>
      <c r="I226" s="149">
        <f t="shared" si="41"/>
        <v>0.3</v>
      </c>
      <c r="J226" s="149">
        <f t="shared" si="41"/>
        <v>0.3</v>
      </c>
      <c r="K226" s="149">
        <f t="shared" si="41"/>
        <v>0.3</v>
      </c>
      <c r="L226" s="149">
        <f t="shared" si="41"/>
        <v>0.3</v>
      </c>
      <c r="M226" s="149">
        <f t="shared" si="41"/>
        <v>0.3</v>
      </c>
      <c r="N226" s="149">
        <f t="shared" si="41"/>
        <v>0.3</v>
      </c>
      <c r="O226" s="149">
        <f t="shared" si="41"/>
        <v>0.3</v>
      </c>
      <c r="P226" s="149">
        <f t="shared" si="41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40"/>
        <v>0</v>
      </c>
      <c r="C227" s="136">
        <v>0.4</v>
      </c>
      <c r="D227" s="136">
        <f t="shared" si="41"/>
        <v>0.4</v>
      </c>
      <c r="E227" s="136">
        <f t="shared" si="41"/>
        <v>0.4</v>
      </c>
      <c r="F227" s="136">
        <f t="shared" si="41"/>
        <v>0.4</v>
      </c>
      <c r="G227" s="136">
        <f t="shared" si="41"/>
        <v>0.4</v>
      </c>
      <c r="H227" s="136">
        <f t="shared" si="41"/>
        <v>0.4</v>
      </c>
      <c r="I227" s="136">
        <f t="shared" si="41"/>
        <v>0.4</v>
      </c>
      <c r="J227" s="136">
        <f t="shared" si="41"/>
        <v>0.4</v>
      </c>
      <c r="K227" s="136">
        <f t="shared" si="41"/>
        <v>0.4</v>
      </c>
      <c r="L227" s="136">
        <f t="shared" si="41"/>
        <v>0.4</v>
      </c>
      <c r="M227" s="136">
        <f t="shared" si="41"/>
        <v>0.4</v>
      </c>
      <c r="N227" s="136">
        <f t="shared" si="41"/>
        <v>0.4</v>
      </c>
      <c r="O227" s="136">
        <f t="shared" si="41"/>
        <v>0.4</v>
      </c>
      <c r="P227" s="136">
        <f t="shared" si="41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40"/>
        <v>0</v>
      </c>
      <c r="C228" s="136">
        <v>1.5</v>
      </c>
      <c r="D228" s="136">
        <f t="shared" si="41"/>
        <v>1.5</v>
      </c>
      <c r="E228" s="136">
        <f t="shared" si="41"/>
        <v>1.5</v>
      </c>
      <c r="F228" s="136">
        <f t="shared" si="41"/>
        <v>1.5</v>
      </c>
      <c r="G228" s="136">
        <f t="shared" si="41"/>
        <v>1.5</v>
      </c>
      <c r="H228" s="136">
        <f t="shared" si="41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41"/>
        <v>1.5</v>
      </c>
      <c r="K228" s="136">
        <f t="shared" ca="1" si="41"/>
        <v>1.5</v>
      </c>
      <c r="L228" s="136">
        <f t="shared" ca="1" si="41"/>
        <v>1.5</v>
      </c>
      <c r="M228" s="136">
        <f t="shared" ca="1" si="41"/>
        <v>1.5</v>
      </c>
      <c r="N228" s="136">
        <f t="shared" ca="1" si="41"/>
        <v>1.5</v>
      </c>
      <c r="O228" s="136">
        <f t="shared" ca="1" si="41"/>
        <v>1.5</v>
      </c>
      <c r="P228" s="136">
        <f t="shared" ca="1" si="41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40"/>
        <v>0</v>
      </c>
      <c r="C229" s="136">
        <v>0.3</v>
      </c>
      <c r="D229" s="136">
        <f t="shared" si="41"/>
        <v>0.3</v>
      </c>
      <c r="E229" s="136">
        <f t="shared" si="41"/>
        <v>0.3</v>
      </c>
      <c r="F229" s="136">
        <f t="shared" si="41"/>
        <v>0.3</v>
      </c>
      <c r="G229" s="136">
        <f t="shared" si="41"/>
        <v>0.3</v>
      </c>
      <c r="H229" s="136">
        <f t="shared" si="41"/>
        <v>0.3</v>
      </c>
      <c r="I229" s="136">
        <f t="shared" si="41"/>
        <v>0.3</v>
      </c>
      <c r="J229" s="136">
        <f t="shared" si="41"/>
        <v>0.3</v>
      </c>
      <c r="K229" s="136">
        <f t="shared" si="41"/>
        <v>0.3</v>
      </c>
      <c r="L229" s="136">
        <f t="shared" si="41"/>
        <v>0.3</v>
      </c>
      <c r="M229" s="136">
        <f t="shared" si="41"/>
        <v>0.3</v>
      </c>
      <c r="N229" s="136">
        <f t="shared" si="41"/>
        <v>0.3</v>
      </c>
      <c r="O229" s="136">
        <f t="shared" si="41"/>
        <v>0.3</v>
      </c>
      <c r="P229" s="136">
        <f t="shared" si="41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40"/>
        <v>0</v>
      </c>
      <c r="C230" s="136">
        <v>0.4</v>
      </c>
      <c r="D230" s="136">
        <f t="shared" si="41"/>
        <v>0.4</v>
      </c>
      <c r="E230" s="136">
        <f t="shared" si="41"/>
        <v>0.4</v>
      </c>
      <c r="F230" s="136">
        <f t="shared" si="41"/>
        <v>0.4</v>
      </c>
      <c r="G230" s="136">
        <f t="shared" si="41"/>
        <v>0.4</v>
      </c>
      <c r="H230" s="136">
        <f t="shared" si="41"/>
        <v>0.4</v>
      </c>
      <c r="I230" s="136">
        <f t="shared" si="41"/>
        <v>0.4</v>
      </c>
      <c r="J230" s="136">
        <f t="shared" si="41"/>
        <v>0.4</v>
      </c>
      <c r="K230" s="136">
        <f t="shared" si="41"/>
        <v>0.4</v>
      </c>
      <c r="L230" s="136">
        <f t="shared" si="41"/>
        <v>0.4</v>
      </c>
      <c r="M230" s="136">
        <f t="shared" si="41"/>
        <v>0.4</v>
      </c>
      <c r="N230" s="136">
        <f t="shared" si="41"/>
        <v>0.4</v>
      </c>
      <c r="O230" s="136">
        <f t="shared" si="41"/>
        <v>0.4</v>
      </c>
      <c r="P230" s="136">
        <f t="shared" si="41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40"/>
        <v>0</v>
      </c>
      <c r="C231" s="140">
        <v>0.64</v>
      </c>
      <c r="D231" s="140">
        <f t="shared" si="41"/>
        <v>0.64</v>
      </c>
      <c r="E231" s="140">
        <f t="shared" si="41"/>
        <v>0.64</v>
      </c>
      <c r="F231" s="140">
        <f t="shared" si="41"/>
        <v>0.64</v>
      </c>
      <c r="G231" s="140">
        <f t="shared" si="41"/>
        <v>0.64</v>
      </c>
      <c r="H231" s="140">
        <f t="shared" si="41"/>
        <v>0.64</v>
      </c>
      <c r="I231" s="140">
        <f t="shared" si="41"/>
        <v>0.64</v>
      </c>
      <c r="J231" s="140">
        <f t="shared" si="41"/>
        <v>0.64</v>
      </c>
      <c r="K231" s="140">
        <f t="shared" si="41"/>
        <v>0.64</v>
      </c>
      <c r="L231" s="140">
        <f t="shared" si="41"/>
        <v>0.64</v>
      </c>
      <c r="M231" s="140">
        <f t="shared" si="41"/>
        <v>0.64</v>
      </c>
      <c r="N231" s="140">
        <f t="shared" si="41"/>
        <v>0.64</v>
      </c>
      <c r="O231" s="140">
        <f t="shared" si="41"/>
        <v>0.64</v>
      </c>
      <c r="P231" s="140">
        <f t="shared" si="41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42">SUM(B226:B231)</f>
        <v>0</v>
      </c>
      <c r="C232" s="144">
        <f t="shared" si="42"/>
        <v>3.54</v>
      </c>
      <c r="D232" s="144">
        <f t="shared" si="42"/>
        <v>3.54</v>
      </c>
      <c r="E232" s="144">
        <f t="shared" si="42"/>
        <v>3.54</v>
      </c>
      <c r="F232" s="144">
        <f t="shared" si="42"/>
        <v>3.54</v>
      </c>
      <c r="G232" s="144">
        <f t="shared" si="42"/>
        <v>3.54</v>
      </c>
      <c r="H232" s="144">
        <f t="shared" si="42"/>
        <v>3.54</v>
      </c>
      <c r="I232" s="144">
        <f t="shared" ca="1" si="42"/>
        <v>3.54</v>
      </c>
      <c r="J232" s="144">
        <f t="shared" ca="1" si="42"/>
        <v>3.54</v>
      </c>
      <c r="K232" s="144">
        <f t="shared" ca="1" si="42"/>
        <v>3.54</v>
      </c>
      <c r="L232" s="144">
        <f t="shared" ca="1" si="42"/>
        <v>3.54</v>
      </c>
      <c r="M232" s="144">
        <f t="shared" ca="1" si="42"/>
        <v>3.54</v>
      </c>
      <c r="N232" s="144">
        <f t="shared" ca="1" si="42"/>
        <v>3.54</v>
      </c>
      <c r="O232" s="144">
        <f t="shared" ca="1" si="42"/>
        <v>3.54</v>
      </c>
      <c r="P232" s="144">
        <f t="shared" ca="1" si="42"/>
        <v>3.54</v>
      </c>
      <c r="Q232" s="144">
        <f t="shared" si="42"/>
        <v>0</v>
      </c>
      <c r="R232" s="144">
        <f t="shared" si="42"/>
        <v>0</v>
      </c>
      <c r="S232" s="144">
        <f t="shared" si="42"/>
        <v>0</v>
      </c>
      <c r="T232" s="144">
        <f t="shared" si="42"/>
        <v>0</v>
      </c>
      <c r="U232" s="144">
        <f t="shared" si="42"/>
        <v>0</v>
      </c>
      <c r="V232" s="144">
        <f t="shared" si="42"/>
        <v>0</v>
      </c>
      <c r="W232" s="144">
        <f t="shared" si="42"/>
        <v>0</v>
      </c>
      <c r="X232" s="144">
        <f t="shared" si="42"/>
        <v>0</v>
      </c>
      <c r="Y232" s="144">
        <f t="shared" si="42"/>
        <v>0</v>
      </c>
      <c r="Z232" s="144">
        <f t="shared" si="42"/>
        <v>0</v>
      </c>
      <c r="AA232" s="144">
        <f t="shared" si="42"/>
        <v>0</v>
      </c>
      <c r="AB232" s="144">
        <f t="shared" si="42"/>
        <v>0</v>
      </c>
      <c r="AC232" s="144">
        <f t="shared" si="42"/>
        <v>0</v>
      </c>
      <c r="AD232" s="144">
        <f t="shared" si="42"/>
        <v>0</v>
      </c>
      <c r="AE232" s="144">
        <f t="shared" si="42"/>
        <v>0</v>
      </c>
      <c r="AF232" s="144">
        <f t="shared" si="42"/>
        <v>0</v>
      </c>
      <c r="AG232" s="154">
        <f t="shared" si="42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1435.6399999999999</v>
      </c>
      <c r="C241" s="170">
        <f>INDEX(G9:N9,1,MATCH(MAX(G89:N89),G89:N89,0))</f>
        <v>0.33333333333333331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5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2079/12/5)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2079/12/5)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43">B89</f>
        <v>1363.6399999999999</v>
      </c>
      <c r="U246" s="180">
        <f t="shared" si="43"/>
        <v>1108.54</v>
      </c>
      <c r="V246" s="180">
        <f t="shared" si="43"/>
        <v>1100.24</v>
      </c>
      <c r="W246" s="180">
        <f t="shared" si="43"/>
        <v>1162.9399999999998</v>
      </c>
      <c r="X246" s="180">
        <f t="shared" si="43"/>
        <v>1179.1399999999999</v>
      </c>
      <c r="Y246" s="180">
        <f t="shared" si="43"/>
        <v>1195.2399999999998</v>
      </c>
      <c r="Z246" s="180">
        <f t="shared" si="43"/>
        <v>1217.7399999999998</v>
      </c>
      <c r="AA246" s="180">
        <f t="shared" si="43"/>
        <v>1148.04</v>
      </c>
      <c r="AB246" s="180">
        <f t="shared" si="43"/>
        <v>1287.7399999999998</v>
      </c>
      <c r="AC246" s="180">
        <f t="shared" si="43"/>
        <v>1314.6399999999999</v>
      </c>
      <c r="AD246" s="180">
        <f t="shared" si="43"/>
        <v>1412.7399999999998</v>
      </c>
      <c r="AE246" s="180">
        <f t="shared" si="43"/>
        <v>1435.6399999999999</v>
      </c>
      <c r="AF246" s="180">
        <f t="shared" si="43"/>
        <v>1417.04</v>
      </c>
      <c r="AG246" s="180">
        <f t="shared" si="43"/>
        <v>1453.3400000000001</v>
      </c>
      <c r="AH246" s="180">
        <f t="shared" si="43"/>
        <v>1498.3400000000001</v>
      </c>
      <c r="AI246" s="180">
        <f t="shared" si="43"/>
        <v>1558.3399999999997</v>
      </c>
      <c r="AJ246" s="180">
        <f t="shared" si="43"/>
        <v>1540.7399999999998</v>
      </c>
      <c r="AK246" s="180">
        <f t="shared" si="43"/>
        <v>1542.3399999999997</v>
      </c>
      <c r="AL246" s="180">
        <f t="shared" si="43"/>
        <v>1492.2399999999998</v>
      </c>
      <c r="AM246" s="180">
        <f t="shared" si="43"/>
        <v>1570.04</v>
      </c>
      <c r="AN246" s="180">
        <f t="shared" si="43"/>
        <v>1453.6399999999999</v>
      </c>
      <c r="AO246" s="180">
        <f t="shared" si="43"/>
        <v>1401.34</v>
      </c>
      <c r="AP246" s="180">
        <f t="shared" si="43"/>
        <v>1424.44</v>
      </c>
      <c r="AQ246" s="180">
        <f t="shared" si="43"/>
        <v>1430.54</v>
      </c>
      <c r="AR246" s="180">
        <f t="shared" si="43"/>
        <v>1717.6399999999999</v>
      </c>
      <c r="AS246" s="180">
        <f t="shared" si="43"/>
        <v>1457.84</v>
      </c>
      <c r="AT246" s="180">
        <f t="shared" si="43"/>
        <v>1518.2399999999998</v>
      </c>
      <c r="AU246" s="180">
        <f t="shared" si="43"/>
        <v>1280.04</v>
      </c>
      <c r="AV246" s="180">
        <f t="shared" si="43"/>
        <v>1245.6399999999999</v>
      </c>
      <c r="AW246" s="180">
        <f t="shared" si="43"/>
        <v>1320.8400000000001</v>
      </c>
      <c r="AX246" s="180">
        <f t="shared" si="43"/>
        <v>1340.6399999999999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44">C231</f>
        <v>0.64</v>
      </c>
      <c r="C267" s="183">
        <f t="shared" si="44"/>
        <v>0.64</v>
      </c>
      <c r="D267" s="183">
        <f t="shared" si="44"/>
        <v>0.64</v>
      </c>
      <c r="E267" s="183">
        <f t="shared" si="44"/>
        <v>0.64</v>
      </c>
      <c r="F267" s="183">
        <f t="shared" si="44"/>
        <v>0.64</v>
      </c>
      <c r="G267" s="183">
        <f t="shared" si="44"/>
        <v>0.64</v>
      </c>
      <c r="H267" s="183">
        <f t="shared" si="44"/>
        <v>0.64</v>
      </c>
      <c r="I267" s="183">
        <f t="shared" si="44"/>
        <v>0.64</v>
      </c>
      <c r="J267" s="183">
        <f t="shared" si="44"/>
        <v>0.64</v>
      </c>
      <c r="K267" s="183">
        <f t="shared" si="44"/>
        <v>0.64</v>
      </c>
      <c r="L267" s="183">
        <f t="shared" si="44"/>
        <v>0.64</v>
      </c>
      <c r="M267" s="183">
        <f t="shared" si="44"/>
        <v>0.64</v>
      </c>
      <c r="N267" s="183">
        <f t="shared" si="44"/>
        <v>0.64</v>
      </c>
      <c r="O267" s="183">
        <f t="shared" si="44"/>
        <v>0.64</v>
      </c>
      <c r="P267" s="183">
        <f t="shared" si="44"/>
        <v>0</v>
      </c>
      <c r="Q267" s="183">
        <f t="shared" si="44"/>
        <v>0</v>
      </c>
      <c r="R267" s="183">
        <f t="shared" si="44"/>
        <v>0</v>
      </c>
      <c r="S267" s="183">
        <f t="shared" si="44"/>
        <v>0</v>
      </c>
      <c r="T267" s="183">
        <f t="shared" si="44"/>
        <v>0</v>
      </c>
      <c r="U267" s="183">
        <f t="shared" si="44"/>
        <v>0</v>
      </c>
      <c r="V267" s="183">
        <f t="shared" si="44"/>
        <v>0</v>
      </c>
      <c r="W267" s="183">
        <f t="shared" si="44"/>
        <v>0</v>
      </c>
      <c r="X267" s="183">
        <f t="shared" si="44"/>
        <v>0</v>
      </c>
      <c r="Y267" s="183">
        <f t="shared" si="44"/>
        <v>0</v>
      </c>
      <c r="Z267" s="183">
        <f t="shared" si="44"/>
        <v>0</v>
      </c>
      <c r="AA267" s="183">
        <f t="shared" si="44"/>
        <v>0</v>
      </c>
      <c r="AB267" s="183">
        <f t="shared" si="44"/>
        <v>0</v>
      </c>
      <c r="AC267" s="183">
        <f t="shared" si="44"/>
        <v>0</v>
      </c>
      <c r="AD267" s="183">
        <f t="shared" si="44"/>
        <v>0</v>
      </c>
      <c r="AE267" s="183">
        <f t="shared" si="44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45">IF(B235&lt;100,"",B235-520)</f>
        <v/>
      </c>
      <c r="C268" s="184" t="str">
        <f t="shared" si="45"/>
        <v/>
      </c>
      <c r="D268" s="184" t="str">
        <f t="shared" si="45"/>
        <v/>
      </c>
      <c r="E268" s="184" t="str">
        <f t="shared" si="45"/>
        <v/>
      </c>
      <c r="F268" s="184" t="str">
        <f t="shared" si="45"/>
        <v/>
      </c>
      <c r="G268" s="184" t="str">
        <f t="shared" si="45"/>
        <v/>
      </c>
      <c r="H268" s="184" t="str">
        <f t="shared" si="45"/>
        <v/>
      </c>
      <c r="I268" s="184" t="str">
        <f t="shared" si="45"/>
        <v/>
      </c>
      <c r="J268" s="184" t="str">
        <f t="shared" si="45"/>
        <v/>
      </c>
      <c r="K268" s="184" t="str">
        <f t="shared" si="45"/>
        <v/>
      </c>
      <c r="L268" s="184" t="str">
        <f t="shared" si="45"/>
        <v/>
      </c>
      <c r="M268" s="184" t="str">
        <f t="shared" si="45"/>
        <v/>
      </c>
      <c r="N268" s="184" t="str">
        <f t="shared" si="45"/>
        <v/>
      </c>
      <c r="O268" s="184" t="str">
        <f t="shared" si="45"/>
        <v/>
      </c>
      <c r="P268" s="184" t="str">
        <f t="shared" si="45"/>
        <v/>
      </c>
      <c r="Q268" s="184" t="str">
        <f t="shared" si="45"/>
        <v/>
      </c>
      <c r="R268" s="184" t="str">
        <f t="shared" si="45"/>
        <v/>
      </c>
      <c r="S268" s="184" t="str">
        <f t="shared" si="45"/>
        <v/>
      </c>
      <c r="T268" s="184" t="str">
        <f t="shared" si="45"/>
        <v/>
      </c>
      <c r="U268" s="184" t="str">
        <f t="shared" si="45"/>
        <v/>
      </c>
      <c r="V268" s="184" t="str">
        <f t="shared" si="45"/>
        <v/>
      </c>
      <c r="W268" s="184" t="str">
        <f t="shared" si="45"/>
        <v/>
      </c>
      <c r="X268" s="184" t="str">
        <f t="shared" si="45"/>
        <v/>
      </c>
      <c r="Y268" s="184" t="str">
        <f t="shared" si="45"/>
        <v/>
      </c>
      <c r="Z268" s="184" t="str">
        <f t="shared" si="45"/>
        <v/>
      </c>
      <c r="AA268" s="184" t="str">
        <f t="shared" si="45"/>
        <v/>
      </c>
      <c r="AB268" s="184" t="str">
        <f t="shared" si="45"/>
        <v/>
      </c>
      <c r="AC268" s="184" t="str">
        <f t="shared" si="45"/>
        <v/>
      </c>
      <c r="AD268" s="184" t="str">
        <f t="shared" si="45"/>
        <v/>
      </c>
      <c r="AE268" s="184" t="str">
        <f t="shared" si="45"/>
        <v/>
      </c>
      <c r="AF268" s="184" t="str">
        <f t="shared" si="45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46">IF(B236&lt;100,"",B236-620)</f>
        <v/>
      </c>
      <c r="C269" s="184" t="str">
        <f t="shared" si="46"/>
        <v/>
      </c>
      <c r="D269" s="184" t="str">
        <f t="shared" si="46"/>
        <v/>
      </c>
      <c r="E269" s="184" t="str">
        <f t="shared" si="46"/>
        <v/>
      </c>
      <c r="F269" s="184" t="str">
        <f t="shared" si="46"/>
        <v/>
      </c>
      <c r="G269" s="184" t="str">
        <f t="shared" si="46"/>
        <v/>
      </c>
      <c r="H269" s="184" t="str">
        <f t="shared" si="46"/>
        <v/>
      </c>
      <c r="I269" s="184" t="str">
        <f t="shared" si="46"/>
        <v/>
      </c>
      <c r="J269" s="184" t="str">
        <f t="shared" si="46"/>
        <v/>
      </c>
      <c r="K269" s="184" t="str">
        <f t="shared" si="46"/>
        <v/>
      </c>
      <c r="L269" s="184" t="str">
        <f t="shared" si="46"/>
        <v/>
      </c>
      <c r="M269" s="184" t="str">
        <f t="shared" si="46"/>
        <v/>
      </c>
      <c r="N269" s="184" t="str">
        <f t="shared" si="46"/>
        <v/>
      </c>
      <c r="O269" s="184" t="str">
        <f t="shared" si="46"/>
        <v/>
      </c>
      <c r="P269" s="184" t="str">
        <f t="shared" si="46"/>
        <v/>
      </c>
      <c r="Q269" s="184" t="str">
        <f t="shared" si="46"/>
        <v/>
      </c>
      <c r="R269" s="184" t="str">
        <f t="shared" si="46"/>
        <v/>
      </c>
      <c r="S269" s="184" t="str">
        <f t="shared" si="46"/>
        <v/>
      </c>
      <c r="T269" s="184" t="str">
        <f t="shared" si="46"/>
        <v/>
      </c>
      <c r="U269" s="184" t="str">
        <f t="shared" si="46"/>
        <v/>
      </c>
      <c r="V269" s="184" t="str">
        <f t="shared" si="46"/>
        <v/>
      </c>
      <c r="W269" s="184" t="str">
        <f t="shared" si="46"/>
        <v/>
      </c>
      <c r="X269" s="184" t="str">
        <f t="shared" si="46"/>
        <v/>
      </c>
      <c r="Y269" s="184" t="str">
        <f t="shared" si="46"/>
        <v/>
      </c>
      <c r="Z269" s="184" t="str">
        <f t="shared" si="46"/>
        <v/>
      </c>
      <c r="AA269" s="184" t="str">
        <f t="shared" si="46"/>
        <v/>
      </c>
      <c r="AB269" s="184" t="str">
        <f t="shared" si="46"/>
        <v/>
      </c>
      <c r="AC269" s="184" t="str">
        <f t="shared" si="46"/>
        <v/>
      </c>
      <c r="AD269" s="184" t="str">
        <f t="shared" si="46"/>
        <v/>
      </c>
      <c r="AE269" s="184" t="str">
        <f t="shared" si="46"/>
        <v/>
      </c>
      <c r="AF269" s="184" t="str">
        <f t="shared" si="46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47">IF(B237&lt;100,"",B237-330)</f>
        <v/>
      </c>
      <c r="C270" s="184" t="str">
        <f t="shared" si="47"/>
        <v/>
      </c>
      <c r="D270" s="184" t="str">
        <f t="shared" si="47"/>
        <v/>
      </c>
      <c r="E270" s="184" t="str">
        <f t="shared" si="47"/>
        <v/>
      </c>
      <c r="F270" s="184" t="str">
        <f t="shared" si="47"/>
        <v/>
      </c>
      <c r="G270" s="184" t="str">
        <f t="shared" si="47"/>
        <v/>
      </c>
      <c r="H270" s="184" t="str">
        <f t="shared" si="47"/>
        <v/>
      </c>
      <c r="I270" s="184" t="str">
        <f t="shared" si="47"/>
        <v/>
      </c>
      <c r="J270" s="184" t="str">
        <f t="shared" si="47"/>
        <v/>
      </c>
      <c r="K270" s="184" t="str">
        <f t="shared" si="47"/>
        <v/>
      </c>
      <c r="L270" s="184" t="str">
        <f t="shared" si="47"/>
        <v/>
      </c>
      <c r="M270" s="184" t="str">
        <f t="shared" si="47"/>
        <v/>
      </c>
      <c r="N270" s="184" t="str">
        <f t="shared" si="47"/>
        <v/>
      </c>
      <c r="O270" s="184" t="str">
        <f t="shared" si="47"/>
        <v/>
      </c>
      <c r="P270" s="184" t="str">
        <f t="shared" si="47"/>
        <v/>
      </c>
      <c r="Q270" s="184" t="str">
        <f t="shared" si="47"/>
        <v/>
      </c>
      <c r="R270" s="184" t="str">
        <f t="shared" si="47"/>
        <v/>
      </c>
      <c r="S270" s="184" t="str">
        <f t="shared" si="47"/>
        <v/>
      </c>
      <c r="T270" s="184" t="str">
        <f t="shared" si="47"/>
        <v/>
      </c>
      <c r="U270" s="184" t="str">
        <f t="shared" si="47"/>
        <v/>
      </c>
      <c r="V270" s="184" t="str">
        <f t="shared" si="47"/>
        <v/>
      </c>
      <c r="W270" s="184" t="str">
        <f t="shared" si="47"/>
        <v/>
      </c>
      <c r="X270" s="184" t="str">
        <f t="shared" si="47"/>
        <v/>
      </c>
      <c r="Y270" s="184" t="str">
        <f t="shared" si="47"/>
        <v/>
      </c>
      <c r="Z270" s="184" t="str">
        <f t="shared" si="47"/>
        <v/>
      </c>
      <c r="AA270" s="184" t="str">
        <f t="shared" si="47"/>
        <v/>
      </c>
      <c r="AB270" s="184" t="str">
        <f t="shared" si="47"/>
        <v/>
      </c>
      <c r="AC270" s="184" t="str">
        <f t="shared" si="47"/>
        <v/>
      </c>
      <c r="AD270" s="184" t="str">
        <f t="shared" si="47"/>
        <v/>
      </c>
      <c r="AE270" s="184" t="str">
        <f t="shared" si="47"/>
        <v/>
      </c>
      <c r="AF270" s="184" t="str">
        <f t="shared" si="47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48">IF(B238&lt;100,"",B238-1500)</f>
        <v/>
      </c>
      <c r="C271" s="184" t="str">
        <f t="shared" si="48"/>
        <v/>
      </c>
      <c r="D271" s="184" t="str">
        <f t="shared" si="48"/>
        <v/>
      </c>
      <c r="E271" s="184" t="str">
        <f t="shared" si="48"/>
        <v/>
      </c>
      <c r="F271" s="184" t="str">
        <f t="shared" si="48"/>
        <v/>
      </c>
      <c r="G271" s="184" t="str">
        <f t="shared" si="48"/>
        <v/>
      </c>
      <c r="H271" s="184" t="str">
        <f t="shared" si="48"/>
        <v/>
      </c>
      <c r="I271" s="184" t="str">
        <f t="shared" si="48"/>
        <v/>
      </c>
      <c r="J271" s="184" t="str">
        <f t="shared" si="48"/>
        <v/>
      </c>
      <c r="K271" s="184" t="str">
        <f t="shared" si="48"/>
        <v/>
      </c>
      <c r="L271" s="184" t="str">
        <f t="shared" si="48"/>
        <v/>
      </c>
      <c r="M271" s="184" t="str">
        <f t="shared" si="48"/>
        <v/>
      </c>
      <c r="N271" s="184" t="str">
        <f t="shared" si="48"/>
        <v/>
      </c>
      <c r="O271" s="184" t="str">
        <f t="shared" si="48"/>
        <v/>
      </c>
      <c r="P271" s="184" t="str">
        <f t="shared" si="48"/>
        <v/>
      </c>
      <c r="Q271" s="184" t="str">
        <f t="shared" si="48"/>
        <v/>
      </c>
      <c r="R271" s="184" t="str">
        <f t="shared" si="48"/>
        <v/>
      </c>
      <c r="S271" s="184" t="str">
        <f t="shared" si="48"/>
        <v/>
      </c>
      <c r="T271" s="184" t="str">
        <f t="shared" si="48"/>
        <v/>
      </c>
      <c r="U271" s="184" t="str">
        <f t="shared" si="48"/>
        <v/>
      </c>
      <c r="V271" s="184" t="str">
        <f t="shared" si="48"/>
        <v/>
      </c>
      <c r="W271" s="184" t="str">
        <f t="shared" si="48"/>
        <v/>
      </c>
      <c r="X271" s="184" t="str">
        <f t="shared" si="48"/>
        <v/>
      </c>
      <c r="Y271" s="184" t="str">
        <f t="shared" si="48"/>
        <v/>
      </c>
      <c r="Z271" s="184" t="str">
        <f t="shared" si="48"/>
        <v/>
      </c>
      <c r="AA271" s="184" t="str">
        <f t="shared" si="48"/>
        <v/>
      </c>
      <c r="AB271" s="184" t="str">
        <f t="shared" si="48"/>
        <v/>
      </c>
      <c r="AC271" s="184" t="str">
        <f t="shared" si="48"/>
        <v/>
      </c>
      <c r="AD271" s="184" t="str">
        <f t="shared" si="48"/>
        <v/>
      </c>
      <c r="AE271" s="184" t="str">
        <f t="shared" si="48"/>
        <v/>
      </c>
      <c r="AF271" s="184" t="str">
        <f t="shared" si="48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7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69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8449" priority="365">
      <formula>B$9&gt;=20/24</formula>
    </cfRule>
    <cfRule type="expression" dxfId="8448" priority="366">
      <formula>AND(B$9&gt;=14/24,B$9&lt;20/24)</formula>
    </cfRule>
    <cfRule type="expression" dxfId="8447" priority="367">
      <formula>AND(B$9&gt;=8/24,B$9&lt;14/24)</formula>
    </cfRule>
    <cfRule type="expression" dxfId="8446" priority="368">
      <formula>B$9&lt;8/24</formula>
    </cfRule>
  </conditionalFormatting>
  <conditionalFormatting sqref="AL4:AL6">
    <cfRule type="iconSet" priority="364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8445" priority="363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8444" priority="362">
      <formula>$AH12=0</formula>
    </cfRule>
  </conditionalFormatting>
  <conditionalFormatting sqref="A114">
    <cfRule type="expression" dxfId="8443" priority="361">
      <formula>$AH114=0</formula>
    </cfRule>
  </conditionalFormatting>
  <conditionalFormatting sqref="AL42">
    <cfRule type="iconSet" priority="360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8442" priority="359">
      <formula>$AH45=0</formula>
    </cfRule>
  </conditionalFormatting>
  <conditionalFormatting sqref="A98">
    <cfRule type="expression" dxfId="8441" priority="358">
      <formula>$AH98=0</formula>
    </cfRule>
  </conditionalFormatting>
  <conditionalFormatting sqref="A18">
    <cfRule type="expression" dxfId="8440" priority="357">
      <formula>$AH18=0</formula>
    </cfRule>
  </conditionalFormatting>
  <conditionalFormatting sqref="A196:A201">
    <cfRule type="expression" dxfId="8439" priority="356">
      <formula>$AH196=0</formula>
    </cfRule>
  </conditionalFormatting>
  <conditionalFormatting sqref="A190:A195">
    <cfRule type="expression" dxfId="8438" priority="355">
      <formula>$AH190=0</formula>
    </cfRule>
  </conditionalFormatting>
  <conditionalFormatting sqref="A58">
    <cfRule type="expression" dxfId="8437" priority="354">
      <formula>$AH58=0</formula>
    </cfRule>
  </conditionalFormatting>
  <conditionalFormatting sqref="A94">
    <cfRule type="expression" dxfId="8436" priority="353">
      <formula>$AH94=0</formula>
    </cfRule>
  </conditionalFormatting>
  <conditionalFormatting sqref="AD99:AF99 E99:Y99">
    <cfRule type="expression" dxfId="8435" priority="349">
      <formula>E$9&gt;=20/24</formula>
    </cfRule>
    <cfRule type="expression" dxfId="8434" priority="350">
      <formula>AND(E$9&gt;=14/24,E$9&lt;20/24)</formula>
    </cfRule>
    <cfRule type="expression" dxfId="8433" priority="351">
      <formula>AND(E$9&gt;=8/24,E$9&lt;14/24)</formula>
    </cfRule>
    <cfRule type="expression" dxfId="8432" priority="352">
      <formula>E$9&lt;8/24</formula>
    </cfRule>
  </conditionalFormatting>
  <conditionalFormatting sqref="AL43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431" priority="371">
      <formula>C$9&gt;=20/24</formula>
    </cfRule>
    <cfRule type="expression" dxfId="8430" priority="372">
      <formula>AND(C$9&gt;=14/24,C$9&lt;20/24)</formula>
    </cfRule>
    <cfRule type="expression" dxfId="8429" priority="373">
      <formula>AND(C$9&gt;=8/24,C$9&lt;14/24)</formula>
    </cfRule>
    <cfRule type="expression" dxfId="8428" priority="374">
      <formula>C$9&lt;8/24</formula>
    </cfRule>
  </conditionalFormatting>
  <conditionalFormatting sqref="A233">
    <cfRule type="expression" dxfId="8427" priority="375">
      <formula>$AH233=0</formula>
    </cfRule>
  </conditionalFormatting>
  <conditionalFormatting sqref="AG245">
    <cfRule type="expression" dxfId="8426" priority="376">
      <formula>B$9&gt;=20/24</formula>
    </cfRule>
    <cfRule type="expression" dxfId="8425" priority="377">
      <formula>AND(B$9&gt;=14/24,B$9&lt;20/24)</formula>
    </cfRule>
    <cfRule type="expression" dxfId="8424" priority="378">
      <formula>AND(B$9&gt;=8/24,B$9&lt;14/24)</formula>
    </cfRule>
    <cfRule type="expression" dxfId="8423" priority="379">
      <formula>B$9&lt;8/24</formula>
    </cfRule>
  </conditionalFormatting>
  <conditionalFormatting sqref="S8">
    <cfRule type="expression" dxfId="8422" priority="344">
      <formula>U$9&gt;=20/24</formula>
    </cfRule>
    <cfRule type="expression" dxfId="8421" priority="345">
      <formula>AND(U$9&gt;=14/24,U$9&lt;20/24)</formula>
    </cfRule>
    <cfRule type="expression" dxfId="8420" priority="346">
      <formula>AND(U$9&gt;=8/24,U$9&lt;14/24)</formula>
    </cfRule>
    <cfRule type="expression" dxfId="8419" priority="347">
      <formula>U$9&lt;8/24</formula>
    </cfRule>
  </conditionalFormatting>
  <conditionalFormatting sqref="AB8">
    <cfRule type="expression" dxfId="8418" priority="340">
      <formula>AD$9&gt;=20/24</formula>
    </cfRule>
    <cfRule type="expression" dxfId="8417" priority="341">
      <formula>AND(AD$9&gt;=14/24,AD$9&lt;20/24)</formula>
    </cfRule>
    <cfRule type="expression" dxfId="8416" priority="342">
      <formula>AND(AD$9&gt;=8/24,AD$9&lt;14/24)</formula>
    </cfRule>
    <cfRule type="expression" dxfId="8415" priority="343">
      <formula>AD$9&lt;8/24</formula>
    </cfRule>
  </conditionalFormatting>
  <conditionalFormatting sqref="AH245:AX245">
    <cfRule type="expression" dxfId="8414" priority="380">
      <formula>AG$9&gt;=20/24</formula>
    </cfRule>
    <cfRule type="expression" dxfId="8413" priority="381">
      <formula>AND(AG$9&gt;=14/24,AG$9&lt;20/24)</formula>
    </cfRule>
    <cfRule type="expression" dxfId="8412" priority="382">
      <formula>AND(AG$9&gt;=8/24,AG$9&lt;14/24)</formula>
    </cfRule>
    <cfRule type="expression" dxfId="8411" priority="383">
      <formula>AG$9&lt;8/24</formula>
    </cfRule>
  </conditionalFormatting>
  <conditionalFormatting sqref="T245">
    <cfRule type="expression" dxfId="8410" priority="384">
      <formula>AX$9&gt;=20/24</formula>
    </cfRule>
    <cfRule type="expression" dxfId="8409" priority="385">
      <formula>AND(AX$9&gt;=14/24,AX$9&lt;20/24)</formula>
    </cfRule>
    <cfRule type="expression" dxfId="8408" priority="386">
      <formula>AND(AX$9&gt;=8/24,AX$9&lt;14/24)</formula>
    </cfRule>
    <cfRule type="expression" dxfId="8407" priority="387">
      <formula>AX$9&lt;8/24</formula>
    </cfRule>
  </conditionalFormatting>
  <conditionalFormatting sqref="A115:A116">
    <cfRule type="expression" dxfId="8406" priority="339">
      <formula>$AH115=0</formula>
    </cfRule>
  </conditionalFormatting>
  <conditionalFormatting sqref="M54:Q58 E71:T71 V71:AF71 AD54:AF55">
    <cfRule type="expression" dxfId="8405" priority="335">
      <formula>E$9&gt;=20/24</formula>
    </cfRule>
    <cfRule type="expression" dxfId="8404" priority="336">
      <formula>AND(E$9&gt;=14/24,E$9&lt;20/24)</formula>
    </cfRule>
    <cfRule type="expression" dxfId="8403" priority="337">
      <formula>AND(E$9&gt;=8/24,E$9&lt;14/24)</formula>
    </cfRule>
    <cfRule type="expression" dxfId="8402" priority="338">
      <formula>E$9&lt;8/24</formula>
    </cfRule>
  </conditionalFormatting>
  <conditionalFormatting sqref="M53:Q53 AD53:AF53">
    <cfRule type="expression" dxfId="8401" priority="331">
      <formula>M$9&gt;=20/24</formula>
    </cfRule>
    <cfRule type="expression" dxfId="8400" priority="332">
      <formula>AND(M$9&gt;=14/24,M$9&lt;20/24)</formula>
    </cfRule>
    <cfRule type="expression" dxfId="8399" priority="333">
      <formula>AND(M$9&gt;=8/24,M$9&lt;14/24)</formula>
    </cfRule>
    <cfRule type="expression" dxfId="8398" priority="334">
      <formula>M$9&lt;8/24</formula>
    </cfRule>
  </conditionalFormatting>
  <conditionalFormatting sqref="M53:Q58 AD53:AF55">
    <cfRule type="expression" dxfId="8397" priority="330">
      <formula>M53&gt;$AG53</formula>
    </cfRule>
  </conditionalFormatting>
  <conditionalFormatting sqref="Z96:AF96 E72:T73 D86:AF86 V72:AF73 M100:Y106 Z47:AF47 Z67:AF69 Z74:AF74 AD100:AF106">
    <cfRule type="expression" dxfId="8396" priority="326">
      <formula>D$9&gt;=20/24</formula>
    </cfRule>
    <cfRule type="expression" dxfId="8395" priority="327">
      <formula>AND(D$9&gt;=14/24,D$9&lt;20/24)</formula>
    </cfRule>
    <cfRule type="expression" dxfId="8394" priority="328">
      <formula>AND(D$9&gt;=8/24,D$9&lt;14/24)</formula>
    </cfRule>
    <cfRule type="expression" dxfId="8393" priority="329">
      <formula>D$9&lt;8/24</formula>
    </cfRule>
  </conditionalFormatting>
  <conditionalFormatting sqref="Z47:AF47 Z67:AF69">
    <cfRule type="expression" dxfId="8392" priority="325">
      <formula>Z47&gt;$AG47</formula>
    </cfRule>
  </conditionalFormatting>
  <conditionalFormatting sqref="R53:T58 Z53:AC57 AD56:AD57 Z58:AD58 AE56:AF58">
    <cfRule type="expression" dxfId="8391" priority="321">
      <formula>R$9&gt;=20/24</formula>
    </cfRule>
    <cfRule type="expression" dxfId="8390" priority="322">
      <formula>AND(R$9&gt;=14/24,R$9&lt;20/24)</formula>
    </cfRule>
    <cfRule type="expression" dxfId="8389" priority="323">
      <formula>AND(R$9&gt;=8/24,R$9&lt;14/24)</formula>
    </cfRule>
    <cfRule type="expression" dxfId="8388" priority="324">
      <formula>R$9&lt;8/24</formula>
    </cfRule>
  </conditionalFormatting>
  <conditionalFormatting sqref="R53:T58 Z53:AC57 AD56:AD57 Z58:AD58 AE56:AF58">
    <cfRule type="expression" dxfId="8387" priority="320">
      <formula>R53&gt;$AG53</formula>
    </cfRule>
  </conditionalFormatting>
  <conditionalFormatting sqref="C97:AF97 D88:AF88">
    <cfRule type="expression" dxfId="8386" priority="316">
      <formula>C$9&gt;=20/24</formula>
    </cfRule>
    <cfRule type="expression" dxfId="8385" priority="317">
      <formula>AND(C$9&gt;=14/24,C$9&lt;20/24)</formula>
    </cfRule>
    <cfRule type="expression" dxfId="8384" priority="318">
      <formula>AND(C$9&gt;=8/24,C$9&lt;14/24)</formula>
    </cfRule>
    <cfRule type="expression" dxfId="8383" priority="319">
      <formula>C$9&lt;8/24</formula>
    </cfRule>
  </conditionalFormatting>
  <conditionalFormatting sqref="T47:Y47">
    <cfRule type="expression" dxfId="8382" priority="312">
      <formula>T$9&gt;=20/24</formula>
    </cfRule>
    <cfRule type="expression" dxfId="8381" priority="313">
      <formula>AND(T$9&gt;=14/24,T$9&lt;20/24)</formula>
    </cfRule>
    <cfRule type="expression" dxfId="8380" priority="314">
      <formula>AND(T$9&gt;=8/24,T$9&lt;14/24)</formula>
    </cfRule>
    <cfRule type="expression" dxfId="8379" priority="315">
      <formula>T$9&lt;8/24</formula>
    </cfRule>
  </conditionalFormatting>
  <conditionalFormatting sqref="T47:Y47">
    <cfRule type="expression" dxfId="8378" priority="311">
      <formula>T47&gt;$AG47</formula>
    </cfRule>
  </conditionalFormatting>
  <conditionalFormatting sqref="F54:L55">
    <cfRule type="expression" dxfId="8377" priority="307">
      <formula>F$9&gt;=20/24</formula>
    </cfRule>
    <cfRule type="expression" dxfId="8376" priority="308">
      <formula>AND(F$9&gt;=14/24,F$9&lt;20/24)</formula>
    </cfRule>
    <cfRule type="expression" dxfId="8375" priority="309">
      <formula>AND(F$9&gt;=8/24,F$9&lt;14/24)</formula>
    </cfRule>
    <cfRule type="expression" dxfId="8374" priority="310">
      <formula>F$9&lt;8/24</formula>
    </cfRule>
  </conditionalFormatting>
  <conditionalFormatting sqref="F53:L53">
    <cfRule type="expression" dxfId="8373" priority="303">
      <formula>F$9&gt;=20/24</formula>
    </cfRule>
    <cfRule type="expression" dxfId="8372" priority="304">
      <formula>AND(F$9&gt;=14/24,F$9&lt;20/24)</formula>
    </cfRule>
    <cfRule type="expression" dxfId="8371" priority="305">
      <formula>AND(F$9&gt;=8/24,F$9&lt;14/24)</formula>
    </cfRule>
    <cfRule type="expression" dxfId="8370" priority="306">
      <formula>F$9&lt;8/24</formula>
    </cfRule>
  </conditionalFormatting>
  <conditionalFormatting sqref="F53:L55">
    <cfRule type="expression" dxfId="8369" priority="302">
      <formula>F53&gt;$AG53</formula>
    </cfRule>
  </conditionalFormatting>
  <conditionalFormatting sqref="AG70 AG87 E100:L106 Q67:Y69">
    <cfRule type="expression" dxfId="8368" priority="298">
      <formula>E$9&gt;=20/24</formula>
    </cfRule>
    <cfRule type="expression" dxfId="8367" priority="299">
      <formula>AND(E$9&gt;=14/24,E$9&lt;20/24)</formula>
    </cfRule>
    <cfRule type="expression" dxfId="8366" priority="300">
      <formula>AND(E$9&gt;=8/24,E$9&lt;14/24)</formula>
    </cfRule>
    <cfRule type="expression" dxfId="8365" priority="301">
      <formula>E$9&lt;8/24</formula>
    </cfRule>
  </conditionalFormatting>
  <conditionalFormatting sqref="AG48 AG66 AG70 Q67:Y69">
    <cfRule type="expression" dxfId="8364" priority="297">
      <formula>Q48&gt;$AG48</formula>
    </cfRule>
  </conditionalFormatting>
  <conditionalFormatting sqref="A43">
    <cfRule type="expression" dxfId="8363" priority="291">
      <formula>$AH43=0</formula>
    </cfRule>
  </conditionalFormatting>
  <conditionalFormatting sqref="Z91:AF95">
    <cfRule type="expression" dxfId="8362" priority="287">
      <formula>Z$9&gt;=20/24</formula>
    </cfRule>
    <cfRule type="expression" dxfId="8361" priority="288">
      <formula>AND(Z$9&gt;=14/24,Z$9&lt;20/24)</formula>
    </cfRule>
    <cfRule type="expression" dxfId="8360" priority="289">
      <formula>AND(Z$9&gt;=8/24,Z$9&lt;14/24)</formula>
    </cfRule>
    <cfRule type="expression" dxfId="8359" priority="290">
      <formula>Z$9&lt;8/24</formula>
    </cfRule>
  </conditionalFormatting>
  <conditionalFormatting sqref="AL45 AL41 AL22:AL32 AL38:AL39 AL7:AL15 AL17:AL20 AL34:AL36">
    <cfRule type="iconSet" priority="388">
      <iconSet iconSet="3TrafficLights2" reverse="1">
        <cfvo type="percent" val="0"/>
        <cfvo type="num" val="1"/>
        <cfvo type="num" val="1"/>
      </iconSet>
    </cfRule>
  </conditionalFormatting>
  <conditionalFormatting sqref="H49:AF51">
    <cfRule type="expression" dxfId="8358" priority="283">
      <formula>H$9&gt;=20/24</formula>
    </cfRule>
    <cfRule type="expression" dxfId="8357" priority="284">
      <formula>AND(H$9&gt;=14/24,H$9&lt;20/24)</formula>
    </cfRule>
    <cfRule type="expression" dxfId="8356" priority="285">
      <formula>AND(H$9&gt;=8/24,H$9&lt;14/24)</formula>
    </cfRule>
    <cfRule type="expression" dxfId="8355" priority="286">
      <formula>H$9&lt;8/24</formula>
    </cfRule>
  </conditionalFormatting>
  <conditionalFormatting sqref="H49:AF51">
    <cfRule type="expression" dxfId="8354" priority="282">
      <formula>H49&gt;$AG49</formula>
    </cfRule>
  </conditionalFormatting>
  <conditionalFormatting sqref="AG52">
    <cfRule type="expression" dxfId="8353" priority="278">
      <formula>AG$9&gt;=20/24</formula>
    </cfRule>
    <cfRule type="expression" dxfId="8352" priority="279">
      <formula>AND(AG$9&gt;=14/24,AG$9&lt;20/24)</formula>
    </cfRule>
    <cfRule type="expression" dxfId="8351" priority="280">
      <formula>AND(AG$9&gt;=8/24,AG$9&lt;14/24)</formula>
    </cfRule>
    <cfRule type="expression" dxfId="8350" priority="281">
      <formula>AG$9&lt;8/24</formula>
    </cfRule>
  </conditionalFormatting>
  <conditionalFormatting sqref="AG52">
    <cfRule type="expression" dxfId="8349" priority="277">
      <formula>AG52&gt;$AG52</formula>
    </cfRule>
  </conditionalFormatting>
  <conditionalFormatting sqref="C107:AF107">
    <cfRule type="expression" dxfId="8348" priority="273">
      <formula>C$9&gt;=20/24</formula>
    </cfRule>
    <cfRule type="expression" dxfId="8347" priority="274">
      <formula>AND(C$9&gt;=14/24,C$9&lt;20/24)</formula>
    </cfRule>
    <cfRule type="expression" dxfId="8346" priority="275">
      <formula>AND(C$9&gt;=8/24,C$9&lt;14/24)</formula>
    </cfRule>
    <cfRule type="expression" dxfId="8345" priority="276">
      <formula>C$9&lt;8/24</formula>
    </cfRule>
  </conditionalFormatting>
  <conditionalFormatting sqref="AL40">
    <cfRule type="iconSet" priority="272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8344" priority="271">
      <formula>$AH40=0</formula>
    </cfRule>
  </conditionalFormatting>
  <conditionalFormatting sqref="A90">
    <cfRule type="expression" dxfId="8343" priority="269">
      <formula>$AH90=0</formula>
    </cfRule>
  </conditionalFormatting>
  <conditionalFormatting sqref="A87">
    <cfRule type="expression" dxfId="8342" priority="270">
      <formula>$AH87=0</formula>
    </cfRule>
  </conditionalFormatting>
  <conditionalFormatting sqref="D110:AF110">
    <cfRule type="expression" dxfId="8341" priority="265">
      <formula>D$9&gt;=20/24</formula>
    </cfRule>
    <cfRule type="expression" dxfId="8340" priority="266">
      <formula>AND(D$9&gt;=14/24,D$9&lt;20/24)</formula>
    </cfRule>
    <cfRule type="expression" dxfId="8339" priority="267">
      <formula>AND(D$9&gt;=8/24,D$9&lt;14/24)</formula>
    </cfRule>
    <cfRule type="expression" dxfId="8338" priority="268">
      <formula>D$9&lt;8/24</formula>
    </cfRule>
  </conditionalFormatting>
  <conditionalFormatting sqref="A110">
    <cfRule type="expression" dxfId="8337" priority="264">
      <formula>$AH110=0</formula>
    </cfRule>
  </conditionalFormatting>
  <conditionalFormatting sqref="A21">
    <cfRule type="expression" dxfId="8336" priority="262">
      <formula>$AH21=0</formula>
    </cfRule>
  </conditionalFormatting>
  <conditionalFormatting sqref="AL21">
    <cfRule type="iconSet" priority="263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8335" priority="260">
      <formula>$AH37=0</formula>
    </cfRule>
  </conditionalFormatting>
  <conditionalFormatting sqref="AL37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Z99:AC99">
    <cfRule type="expression" dxfId="8334" priority="256">
      <formula>Z$9&gt;=20/24</formula>
    </cfRule>
    <cfRule type="expression" dxfId="8333" priority="257">
      <formula>AND(Z$9&gt;=14/24,Z$9&lt;20/24)</formula>
    </cfRule>
    <cfRule type="expression" dxfId="8332" priority="258">
      <formula>AND(Z$9&gt;=8/24,Z$9&lt;14/24)</formula>
    </cfRule>
    <cfRule type="expression" dxfId="8331" priority="259">
      <formula>Z$9&lt;8/24</formula>
    </cfRule>
  </conditionalFormatting>
  <conditionalFormatting sqref="Z100:AC106">
    <cfRule type="expression" dxfId="8330" priority="252">
      <formula>Z$9&gt;=20/24</formula>
    </cfRule>
    <cfRule type="expression" dxfId="8329" priority="253">
      <formula>AND(Z$9&gt;=14/24,Z$9&lt;20/24)</formula>
    </cfRule>
    <cfRule type="expression" dxfId="8328" priority="254">
      <formula>AND(Z$9&gt;=8/24,Z$9&lt;14/24)</formula>
    </cfRule>
    <cfRule type="expression" dxfId="8327" priority="255">
      <formula>Z$9&lt;8/24</formula>
    </cfRule>
  </conditionalFormatting>
  <conditionalFormatting sqref="C109 C111:C116 Z34:AF43 Z17:AF32">
    <cfRule type="expression" dxfId="8326" priority="248">
      <formula>C$9&gt;=20/24</formula>
    </cfRule>
    <cfRule type="expression" dxfId="8325" priority="249">
      <formula>AND(C$9&gt;=14/24,C$9&lt;20/24)</formula>
    </cfRule>
    <cfRule type="expression" dxfId="8324" priority="250">
      <formula>AND(C$9&gt;=8/24,C$9&lt;14/24)</formula>
    </cfRule>
    <cfRule type="expression" dxfId="8323" priority="251">
      <formula>C$9&lt;8/24</formula>
    </cfRule>
  </conditionalFormatting>
  <conditionalFormatting sqref="C47:S47">
    <cfRule type="expression" dxfId="8322" priority="244">
      <formula>C$9&gt;=20/24</formula>
    </cfRule>
    <cfRule type="expression" dxfId="8321" priority="245">
      <formula>AND(C$9&gt;=14/24,C$9&lt;20/24)</formula>
    </cfRule>
    <cfRule type="expression" dxfId="8320" priority="246">
      <formula>AND(C$9&gt;=8/24,C$9&lt;14/24)</formula>
    </cfRule>
    <cfRule type="expression" dxfId="8319" priority="247">
      <formula>C$9&lt;8/24</formula>
    </cfRule>
  </conditionalFormatting>
  <conditionalFormatting sqref="C47:S47 Z34:AF43 Z17:AF32">
    <cfRule type="expression" dxfId="8318" priority="243">
      <formula>C17&gt;$AG17</formula>
    </cfRule>
  </conditionalFormatting>
  <conditionalFormatting sqref="C99:D99">
    <cfRule type="expression" dxfId="8317" priority="239">
      <formula>C$9&gt;=20/24</formula>
    </cfRule>
    <cfRule type="expression" dxfId="8316" priority="240">
      <formula>AND(C$9&gt;=14/24,C$9&lt;20/24)</formula>
    </cfRule>
    <cfRule type="expression" dxfId="8315" priority="241">
      <formula>AND(C$9&gt;=8/24,C$9&lt;14/24)</formula>
    </cfRule>
    <cfRule type="expression" dxfId="8314" priority="242">
      <formula>C$9&lt;8/24</formula>
    </cfRule>
  </conditionalFormatting>
  <conditionalFormatting sqref="C86 D100:D106 H67:P69 E74:R75 F76:R76 S74:T76 C96:Y96 C83:AF85 Z75:AF76">
    <cfRule type="expression" dxfId="8313" priority="235">
      <formula>C$9&gt;=20/24</formula>
    </cfRule>
    <cfRule type="expression" dxfId="8312" priority="236">
      <formula>AND(C$9&gt;=14/24,C$9&lt;20/24)</formula>
    </cfRule>
    <cfRule type="expression" dxfId="8311" priority="237">
      <formula>AND(C$9&gt;=8/24,C$9&lt;14/24)</formula>
    </cfRule>
    <cfRule type="expression" dxfId="8310" priority="238">
      <formula>C$9&lt;8/24</formula>
    </cfRule>
  </conditionalFormatting>
  <conditionalFormatting sqref="E57:H57 H67:P69 F56:H56 I56:L57">
    <cfRule type="expression" dxfId="8309" priority="234">
      <formula>E56&gt;$AG56</formula>
    </cfRule>
  </conditionalFormatting>
  <conditionalFormatting sqref="H58:L58">
    <cfRule type="expression" dxfId="8308" priority="230">
      <formula>H$9&gt;=20/24</formula>
    </cfRule>
    <cfRule type="expression" dxfId="8307" priority="231">
      <formula>AND(H$9&gt;=14/24,H$9&lt;20/24)</formula>
    </cfRule>
    <cfRule type="expression" dxfId="8306" priority="232">
      <formula>AND(H$9&gt;=8/24,H$9&lt;14/24)</formula>
    </cfRule>
    <cfRule type="expression" dxfId="8305" priority="233">
      <formula>H$9&lt;8/24</formula>
    </cfRule>
  </conditionalFormatting>
  <conditionalFormatting sqref="H58:L58">
    <cfRule type="expression" dxfId="8304" priority="229">
      <formula>H58&gt;$AG58</formula>
    </cfRule>
  </conditionalFormatting>
  <conditionalFormatting sqref="B54:D57 B71:D71 E54:E56">
    <cfRule type="expression" dxfId="8303" priority="158">
      <formula>B$9&gt;=20/24</formula>
    </cfRule>
    <cfRule type="expression" dxfId="8302" priority="159">
      <formula>AND(B$9&gt;=14/24,B$9&lt;20/24)</formula>
    </cfRule>
    <cfRule type="expression" dxfId="8301" priority="160">
      <formula>AND(B$9&gt;=8/24,B$9&lt;14/24)</formula>
    </cfRule>
    <cfRule type="expression" dxfId="8300" priority="161">
      <formula>B$9&lt;8/24</formula>
    </cfRule>
  </conditionalFormatting>
  <conditionalFormatting sqref="C87:AF87 C89:AF89 C98:AF98 C70:AF70">
    <cfRule type="expression" dxfId="8299" priority="225">
      <formula>C$9&gt;=20/24</formula>
    </cfRule>
    <cfRule type="expression" dxfId="8298" priority="226">
      <formula>AND(C$9&gt;=14/24,C$9&lt;20/24)</formula>
    </cfRule>
    <cfRule type="expression" dxfId="8297" priority="227">
      <formula>AND(C$9&gt;=8/24,C$9&lt;14/24)</formula>
    </cfRule>
    <cfRule type="expression" dxfId="8296" priority="228">
      <formula>C$9&lt;8/24</formula>
    </cfRule>
  </conditionalFormatting>
  <conditionalFormatting sqref="C70:AF70 C65:AF66 C48:AF48">
    <cfRule type="expression" dxfId="8295" priority="224">
      <formula>C48&gt;$AG48</formula>
    </cfRule>
  </conditionalFormatting>
  <conditionalFormatting sqref="C82:AF82">
    <cfRule type="expression" dxfId="8294" priority="220">
      <formula>C$9&gt;=20/24</formula>
    </cfRule>
    <cfRule type="expression" dxfId="8293" priority="221">
      <formula>AND(C$9&gt;=14/24,C$9&lt;20/24)</formula>
    </cfRule>
    <cfRule type="expression" dxfId="8292" priority="222">
      <formula>AND(C$9&gt;=8/24,C$9&lt;14/24)</formula>
    </cfRule>
    <cfRule type="expression" dxfId="8291" priority="223">
      <formula>C$9&lt;8/24</formula>
    </cfRule>
  </conditionalFormatting>
  <conditionalFormatting sqref="C91:Y95">
    <cfRule type="expression" dxfId="8290" priority="216">
      <formula>C$9&gt;=20/24</formula>
    </cfRule>
    <cfRule type="expression" dxfId="8289" priority="217">
      <formula>AND(C$9&gt;=14/24,C$9&lt;20/24)</formula>
    </cfRule>
    <cfRule type="expression" dxfId="8288" priority="218">
      <formula>AND(C$9&gt;=8/24,C$9&lt;14/24)</formula>
    </cfRule>
    <cfRule type="expression" dxfId="8287" priority="219">
      <formula>C$9&lt;8/24</formula>
    </cfRule>
  </conditionalFormatting>
  <conditionalFormatting sqref="C52:AF52">
    <cfRule type="expression" dxfId="8286" priority="212">
      <formula>C$9&gt;=20/24</formula>
    </cfRule>
    <cfRule type="expression" dxfId="8285" priority="213">
      <formula>AND(C$9&gt;=14/24,C$9&lt;20/24)</formula>
    </cfRule>
    <cfRule type="expression" dxfId="8284" priority="214">
      <formula>AND(C$9&gt;=8/24,C$9&lt;14/24)</formula>
    </cfRule>
    <cfRule type="expression" dxfId="8283" priority="215">
      <formula>C$9&lt;8/24</formula>
    </cfRule>
  </conditionalFormatting>
  <conditionalFormatting sqref="C52:AF52">
    <cfRule type="expression" dxfId="8282" priority="211">
      <formula>C52&gt;$AG52</formula>
    </cfRule>
  </conditionalFormatting>
  <conditionalFormatting sqref="B49:G51">
    <cfRule type="expression" dxfId="8281" priority="126">
      <formula>B$9&gt;=20/24</formula>
    </cfRule>
    <cfRule type="expression" dxfId="8280" priority="127">
      <formula>AND(B$9&gt;=14/24,B$9&lt;20/24)</formula>
    </cfRule>
    <cfRule type="expression" dxfId="8279" priority="128">
      <formula>AND(B$9&gt;=8/24,B$9&lt;14/24)</formula>
    </cfRule>
    <cfRule type="expression" dxfId="8278" priority="129">
      <formula>B$9&lt;8/24</formula>
    </cfRule>
  </conditionalFormatting>
  <conditionalFormatting sqref="C110">
    <cfRule type="expression" dxfId="8277" priority="203">
      <formula>C$9&gt;=20/24</formula>
    </cfRule>
    <cfRule type="expression" dxfId="8276" priority="204">
      <formula>AND(C$9&gt;=14/24,C$9&lt;20/24)</formula>
    </cfRule>
    <cfRule type="expression" dxfId="8275" priority="205">
      <formula>AND(C$9&gt;=8/24,C$9&lt;14/24)</formula>
    </cfRule>
    <cfRule type="expression" dxfId="8274" priority="206">
      <formula>C$9&lt;8/24</formula>
    </cfRule>
  </conditionalFormatting>
  <conditionalFormatting sqref="H59:T64 Z59:AF64">
    <cfRule type="expression" dxfId="8273" priority="199">
      <formula>H$9&gt;=20/24</formula>
    </cfRule>
    <cfRule type="expression" dxfId="8272" priority="200">
      <formula>AND(H$9&gt;=14/24,H$9&lt;20/24)</formula>
    </cfRule>
    <cfRule type="expression" dxfId="8271" priority="201">
      <formula>AND(H$9&gt;=8/24,H$9&lt;14/24)</formula>
    </cfRule>
    <cfRule type="expression" dxfId="8270" priority="202">
      <formula>H$9&lt;8/24</formula>
    </cfRule>
  </conditionalFormatting>
  <conditionalFormatting sqref="H59:T64 Z59:AF64">
    <cfRule type="expression" dxfId="8269" priority="198">
      <formula>H59&gt;$AG59</formula>
    </cfRule>
  </conditionalFormatting>
  <conditionalFormatting sqref="Z45:AF45 Z13:AF15">
    <cfRule type="expression" dxfId="8268" priority="197">
      <formula>Z13&gt;$AG13</formula>
    </cfRule>
  </conditionalFormatting>
  <conditionalFormatting sqref="Z12:AF12">
    <cfRule type="expression" dxfId="8267" priority="193">
      <formula>Z$9&gt;=20/24</formula>
    </cfRule>
    <cfRule type="expression" dxfId="8266" priority="194">
      <formula>AND(Z$9&gt;=14/24,Z$9&lt;20/24)</formula>
    </cfRule>
    <cfRule type="expression" dxfId="8265" priority="195">
      <formula>AND(Z$9&gt;=8/24,Z$9&lt;14/24)</formula>
    </cfRule>
    <cfRule type="expression" dxfId="8264" priority="196">
      <formula>Z$9&lt;8/24</formula>
    </cfRule>
  </conditionalFormatting>
  <conditionalFormatting sqref="Z12:AF12">
    <cfRule type="expression" dxfId="8263" priority="192">
      <formula>Z12&gt;$AG12</formula>
    </cfRule>
  </conditionalFormatting>
  <conditionalFormatting sqref="Z13:AF15">
    <cfRule type="expression" dxfId="8262" priority="188">
      <formula>Z$9&gt;=20/24</formula>
    </cfRule>
    <cfRule type="expression" dxfId="8261" priority="189">
      <formula>AND(Z$9&gt;=14/24,Z$9&lt;20/24)</formula>
    </cfRule>
    <cfRule type="expression" dxfId="8260" priority="190">
      <formula>AND(Z$9&gt;=8/24,Z$9&lt;14/24)</formula>
    </cfRule>
    <cfRule type="expression" dxfId="8259" priority="191">
      <formula>Z$9&lt;8/24</formula>
    </cfRule>
  </conditionalFormatting>
  <conditionalFormatting sqref="Z45:AF45">
    <cfRule type="expression" dxfId="8258" priority="184">
      <formula>Z$9&gt;=20/24</formula>
    </cfRule>
    <cfRule type="expression" dxfId="8257" priority="185">
      <formula>AND(Z$9&gt;=14/24,Z$9&lt;20/24)</formula>
    </cfRule>
    <cfRule type="expression" dxfId="8256" priority="186">
      <formula>AND(Z$9&gt;=8/24,Z$9&lt;14/24)</formula>
    </cfRule>
    <cfRule type="expression" dxfId="8255" priority="187">
      <formula>Z$9&lt;8/24</formula>
    </cfRule>
  </conditionalFormatting>
  <conditionalFormatting sqref="M77:T81 Z77:AF81">
    <cfRule type="expression" dxfId="8254" priority="180">
      <formula>M$9&gt;=20/24</formula>
    </cfRule>
    <cfRule type="expression" dxfId="8253" priority="181">
      <formula>AND(M$9&gt;=14/24,M$9&lt;20/24)</formula>
    </cfRule>
    <cfRule type="expression" dxfId="8252" priority="182">
      <formula>AND(M$9&gt;=8/24,M$9&lt;14/24)</formula>
    </cfRule>
    <cfRule type="expression" dxfId="8251" priority="183">
      <formula>M$9&lt;8/24</formula>
    </cfRule>
  </conditionalFormatting>
  <conditionalFormatting sqref="AL78:AN78 AL84:AN84 AN79:AN80">
    <cfRule type="expression" dxfId="8250" priority="176">
      <formula>AL$9&gt;=20/24</formula>
    </cfRule>
    <cfRule type="expression" dxfId="8249" priority="177">
      <formula>AND(AL$9&gt;=14/24,AL$9&lt;20/24)</formula>
    </cfRule>
    <cfRule type="expression" dxfId="8248" priority="178">
      <formula>AND(AL$9&gt;=8/24,AL$9&lt;14/24)</formula>
    </cfRule>
    <cfRule type="expression" dxfId="8247" priority="179">
      <formula>AL$9&lt;8/24</formula>
    </cfRule>
  </conditionalFormatting>
  <conditionalFormatting sqref="AN81:AN82">
    <cfRule type="expression" dxfId="8246" priority="172">
      <formula>AN$9&gt;=20/24</formula>
    </cfRule>
    <cfRule type="expression" dxfId="8245" priority="173">
      <formula>AND(AN$9&gt;=14/24,AN$9&lt;20/24)</formula>
    </cfRule>
    <cfRule type="expression" dxfId="8244" priority="174">
      <formula>AND(AN$9&gt;=8/24,AN$9&lt;14/24)</formula>
    </cfRule>
    <cfRule type="expression" dxfId="8243" priority="175">
      <formula>AN$9&lt;8/24</formula>
    </cfRule>
  </conditionalFormatting>
  <conditionalFormatting sqref="AL79:AM83">
    <cfRule type="expression" dxfId="8242" priority="389">
      <formula>AJ$9&gt;=20/24</formula>
    </cfRule>
    <cfRule type="expression" dxfId="8241" priority="390">
      <formula>AND(AJ$9&gt;=14/24,AJ$9&lt;20/24)</formula>
    </cfRule>
    <cfRule type="expression" dxfId="8240" priority="391">
      <formula>AND(AJ$9&gt;=8/24,AJ$9&lt;14/24)</formula>
    </cfRule>
    <cfRule type="expression" dxfId="8239" priority="392">
      <formula>AJ$9&lt;8/24</formula>
    </cfRule>
  </conditionalFormatting>
  <conditionalFormatting sqref="A117">
    <cfRule type="expression" dxfId="8238" priority="171">
      <formula>$AH117=0</formula>
    </cfRule>
  </conditionalFormatting>
  <conditionalFormatting sqref="B109 B111:B116 B12:Y15 B17:Y32 B34:Y43 B45:Y45">
    <cfRule type="expression" dxfId="8237" priority="167">
      <formula>B$9&gt;=20/24</formula>
    </cfRule>
    <cfRule type="expression" dxfId="8236" priority="168">
      <formula>AND(B$9&gt;=14/24,B$9&lt;20/24)</formula>
    </cfRule>
    <cfRule type="expression" dxfId="8235" priority="169">
      <formula>AND(B$9&gt;=8/24,B$9&lt;14/24)</formula>
    </cfRule>
    <cfRule type="expression" dxfId="8234" priority="170">
      <formula>B$9&lt;8/24</formula>
    </cfRule>
  </conditionalFormatting>
  <conditionalFormatting sqref="B12:Y15 B17:Y32 B34:Y43 B45:Y45">
    <cfRule type="expression" dxfId="8233" priority="166">
      <formula>B12&gt;$AG12</formula>
    </cfRule>
  </conditionalFormatting>
  <conditionalFormatting sqref="B99">
    <cfRule type="expression" dxfId="8232" priority="162">
      <formula>B$9&gt;=20/24</formula>
    </cfRule>
    <cfRule type="expression" dxfId="8231" priority="163">
      <formula>AND(B$9&gt;=14/24,B$9&lt;20/24)</formula>
    </cfRule>
    <cfRule type="expression" dxfId="8230" priority="164">
      <formula>AND(B$9&gt;=8/24,B$9&lt;14/24)</formula>
    </cfRule>
    <cfRule type="expression" dxfId="8229" priority="165">
      <formula>B$9&lt;8/24</formula>
    </cfRule>
  </conditionalFormatting>
  <conditionalFormatting sqref="B53:E53">
    <cfRule type="expression" dxfId="8228" priority="154">
      <formula>B$9&gt;=20/24</formula>
    </cfRule>
    <cfRule type="expression" dxfId="8227" priority="155">
      <formula>AND(B$9&gt;=14/24,B$9&lt;20/24)</formula>
    </cfRule>
    <cfRule type="expression" dxfId="8226" priority="156">
      <formula>AND(B$9&gt;=8/24,B$9&lt;14/24)</formula>
    </cfRule>
    <cfRule type="expression" dxfId="8225" priority="157">
      <formula>B$9&lt;8/24</formula>
    </cfRule>
  </conditionalFormatting>
  <conditionalFormatting sqref="B53:D57 E53:E56">
    <cfRule type="expression" dxfId="8224" priority="153">
      <formula>B53&gt;$AG53</formula>
    </cfRule>
  </conditionalFormatting>
  <conditionalFormatting sqref="B96 B86 B47 B100:C106 B72:D74 B67:G69">
    <cfRule type="expression" dxfId="8223" priority="149">
      <formula>B$9&gt;=20/24</formula>
    </cfRule>
    <cfRule type="expression" dxfId="8222" priority="150">
      <formula>AND(B$9&gt;=14/24,B$9&lt;20/24)</formula>
    </cfRule>
    <cfRule type="expression" dxfId="8221" priority="151">
      <formula>AND(B$9&gt;=8/24,B$9&lt;14/24)</formula>
    </cfRule>
    <cfRule type="expression" dxfId="8220" priority="152">
      <formula>B$9&lt;8/24</formula>
    </cfRule>
  </conditionalFormatting>
  <conditionalFormatting sqref="B47 B67:G69">
    <cfRule type="expression" dxfId="8219" priority="148">
      <formula>B47&gt;$AG47</formula>
    </cfRule>
  </conditionalFormatting>
  <conditionalFormatting sqref="B97 B88:C88">
    <cfRule type="expression" dxfId="8218" priority="144">
      <formula>B$9&gt;=20/24</formula>
    </cfRule>
    <cfRule type="expression" dxfId="8217" priority="145">
      <formula>AND(B$9&gt;=14/24,B$9&lt;20/24)</formula>
    </cfRule>
    <cfRule type="expression" dxfId="8216" priority="146">
      <formula>AND(B$9&gt;=8/24,B$9&lt;14/24)</formula>
    </cfRule>
    <cfRule type="expression" dxfId="8215" priority="147">
      <formula>B$9&lt;8/24</formula>
    </cfRule>
  </conditionalFormatting>
  <conditionalFormatting sqref="B46:AF46">
    <cfRule type="expression" dxfId="8214" priority="140">
      <formula>B$9&gt;=20/24</formula>
    </cfRule>
    <cfRule type="expression" dxfId="8213" priority="141">
      <formula>AND(B$9&gt;=14/24,B$9&lt;20/24)</formula>
    </cfRule>
    <cfRule type="expression" dxfId="8212" priority="142">
      <formula>AND(B$9&gt;=8/24,B$9&lt;14/24)</formula>
    </cfRule>
    <cfRule type="expression" dxfId="8211" priority="143">
      <formula>B$9&lt;8/24</formula>
    </cfRule>
  </conditionalFormatting>
  <conditionalFormatting sqref="B46:AF46">
    <cfRule type="expression" dxfId="8210" priority="139">
      <formula>B46&gt;$AG46</formula>
    </cfRule>
  </conditionalFormatting>
  <conditionalFormatting sqref="B58:G58">
    <cfRule type="expression" dxfId="8209" priority="135">
      <formula>B$9&gt;=20/24</formula>
    </cfRule>
    <cfRule type="expression" dxfId="8208" priority="136">
      <formula>AND(B$9&gt;=14/24,B$9&lt;20/24)</formula>
    </cfRule>
    <cfRule type="expression" dxfId="8207" priority="137">
      <formula>AND(B$9&gt;=8/24,B$9&lt;14/24)</formula>
    </cfRule>
    <cfRule type="expression" dxfId="8206" priority="138">
      <formula>B$9&lt;8/24</formula>
    </cfRule>
  </conditionalFormatting>
  <conditionalFormatting sqref="B58:G58">
    <cfRule type="expression" dxfId="8205" priority="134">
      <formula>B58&gt;$AG58</formula>
    </cfRule>
  </conditionalFormatting>
  <conditionalFormatting sqref="B91:B95">
    <cfRule type="expression" dxfId="8204" priority="130">
      <formula>B$9&gt;=20/24</formula>
    </cfRule>
    <cfRule type="expression" dxfId="8203" priority="131">
      <formula>AND(B$9&gt;=14/24,B$9&lt;20/24)</formula>
    </cfRule>
    <cfRule type="expression" dxfId="8202" priority="132">
      <formula>AND(B$9&gt;=8/24,B$9&lt;14/24)</formula>
    </cfRule>
    <cfRule type="expression" dxfId="8201" priority="133">
      <formula>B$9&lt;8/24</formula>
    </cfRule>
  </conditionalFormatting>
  <conditionalFormatting sqref="B49:G51">
    <cfRule type="expression" dxfId="8200" priority="125">
      <formula>B49&gt;$AG49</formula>
    </cfRule>
  </conditionalFormatting>
  <conditionalFormatting sqref="B107">
    <cfRule type="expression" dxfId="8199" priority="121">
      <formula>B$9&gt;=20/24</formula>
    </cfRule>
    <cfRule type="expression" dxfId="8198" priority="122">
      <formula>AND(B$9&gt;=14/24,B$9&lt;20/24)</formula>
    </cfRule>
    <cfRule type="expression" dxfId="8197" priority="123">
      <formula>AND(B$9&gt;=8/24,B$9&lt;14/24)</formula>
    </cfRule>
    <cfRule type="expression" dxfId="8196" priority="124">
      <formula>B$9&lt;8/24</formula>
    </cfRule>
  </conditionalFormatting>
  <conditionalFormatting sqref="B110">
    <cfRule type="expression" dxfId="8195" priority="117">
      <formula>B$9&gt;=20/24</formula>
    </cfRule>
    <cfRule type="expression" dxfId="8194" priority="118">
      <formula>AND(B$9&gt;=14/24,B$9&lt;20/24)</formula>
    </cfRule>
    <cfRule type="expression" dxfId="8193" priority="119">
      <formula>AND(B$9&gt;=8/24,B$9&lt;14/24)</formula>
    </cfRule>
    <cfRule type="expression" dxfId="8192" priority="120">
      <formula>B$9&lt;8/24</formula>
    </cfRule>
  </conditionalFormatting>
  <conditionalFormatting sqref="B83:B85 B75:D76 E76">
    <cfRule type="expression" dxfId="8191" priority="113">
      <formula>B$9&gt;=20/24</formula>
    </cfRule>
    <cfRule type="expression" dxfId="8190" priority="114">
      <formula>AND(B$9&gt;=14/24,B$9&lt;20/24)</formula>
    </cfRule>
    <cfRule type="expression" dxfId="8189" priority="115">
      <formula>AND(B$9&gt;=8/24,B$9&lt;14/24)</formula>
    </cfRule>
    <cfRule type="expression" dxfId="8188" priority="116">
      <formula>B$9&lt;8/24</formula>
    </cfRule>
  </conditionalFormatting>
  <conditionalFormatting sqref="B89 B98 B70 B87">
    <cfRule type="expression" dxfId="8187" priority="109">
      <formula>B$9&gt;=20/24</formula>
    </cfRule>
    <cfRule type="expression" dxfId="8186" priority="110">
      <formula>AND(B$9&gt;=14/24,B$9&lt;20/24)</formula>
    </cfRule>
    <cfRule type="expression" dxfId="8185" priority="111">
      <formula>AND(B$9&gt;=8/24,B$9&lt;14/24)</formula>
    </cfRule>
    <cfRule type="expression" dxfId="8184" priority="112">
      <formula>B$9&lt;8/24</formula>
    </cfRule>
  </conditionalFormatting>
  <conditionalFormatting sqref="B48 B65:B66 B70">
    <cfRule type="expression" dxfId="8183" priority="108">
      <formula>B48&gt;$AG48</formula>
    </cfRule>
  </conditionalFormatting>
  <conditionalFormatting sqref="B82">
    <cfRule type="expression" dxfId="8182" priority="104">
      <formula>B$9&gt;=20/24</formula>
    </cfRule>
    <cfRule type="expression" dxfId="8181" priority="105">
      <formula>AND(B$9&gt;=14/24,B$9&lt;20/24)</formula>
    </cfRule>
    <cfRule type="expression" dxfId="8180" priority="106">
      <formula>AND(B$9&gt;=8/24,B$9&lt;14/24)</formula>
    </cfRule>
    <cfRule type="expression" dxfId="8179" priority="107">
      <formula>B$9&lt;8/24</formula>
    </cfRule>
  </conditionalFormatting>
  <conditionalFormatting sqref="B52">
    <cfRule type="expression" dxfId="8178" priority="100">
      <formula>B$9&gt;=20/24</formula>
    </cfRule>
    <cfRule type="expression" dxfId="8177" priority="101">
      <formula>AND(B$9&gt;=14/24,B$9&lt;20/24)</formula>
    </cfRule>
    <cfRule type="expression" dxfId="8176" priority="102">
      <formula>AND(B$9&gt;=8/24,B$9&lt;14/24)</formula>
    </cfRule>
    <cfRule type="expression" dxfId="8175" priority="103">
      <formula>B$9&lt;8/24</formula>
    </cfRule>
  </conditionalFormatting>
  <conditionalFormatting sqref="B52">
    <cfRule type="expression" dxfId="8174" priority="99">
      <formula>B52&gt;$AG52</formula>
    </cfRule>
  </conditionalFormatting>
  <conditionalFormatting sqref="B59:G64">
    <cfRule type="expression" dxfId="8173" priority="91">
      <formula>B$9&gt;=20/24</formula>
    </cfRule>
    <cfRule type="expression" dxfId="8172" priority="92">
      <formula>AND(B$9&gt;=14/24,B$9&lt;20/24)</formula>
    </cfRule>
    <cfRule type="expression" dxfId="8171" priority="93">
      <formula>AND(B$9&gt;=8/24,B$9&lt;14/24)</formula>
    </cfRule>
    <cfRule type="expression" dxfId="8170" priority="94">
      <formula>B$9&lt;8/24</formula>
    </cfRule>
  </conditionalFormatting>
  <conditionalFormatting sqref="B59:G64">
    <cfRule type="expression" dxfId="8169" priority="90">
      <formula>B59&gt;$AG59</formula>
    </cfRule>
  </conditionalFormatting>
  <conditionalFormatting sqref="B77:L81">
    <cfRule type="expression" dxfId="8168" priority="86">
      <formula>B$9&gt;=20/24</formula>
    </cfRule>
    <cfRule type="expression" dxfId="8167" priority="87">
      <formula>AND(B$9&gt;=14/24,B$9&lt;20/24)</formula>
    </cfRule>
    <cfRule type="expression" dxfId="8166" priority="88">
      <formula>AND(B$9&gt;=8/24,B$9&lt;14/24)</formula>
    </cfRule>
    <cfRule type="expression" dxfId="8165" priority="89">
      <formula>B$9&lt;8/24</formula>
    </cfRule>
  </conditionalFormatting>
  <conditionalFormatting sqref="A11">
    <cfRule type="expression" dxfId="8164" priority="85">
      <formula>$AH11=0</formula>
    </cfRule>
  </conditionalFormatting>
  <conditionalFormatting sqref="Z11:AF11">
    <cfRule type="expression" dxfId="8163" priority="81">
      <formula>Z$9&gt;=20/24</formula>
    </cfRule>
    <cfRule type="expression" dxfId="8162" priority="82">
      <formula>AND(Z$9&gt;=14/24,Z$9&lt;20/24)</formula>
    </cfRule>
    <cfRule type="expression" dxfId="8161" priority="83">
      <formula>AND(Z$9&gt;=8/24,Z$9&lt;14/24)</formula>
    </cfRule>
    <cfRule type="expression" dxfId="8160" priority="84">
      <formula>Z$9&lt;8/24</formula>
    </cfRule>
  </conditionalFormatting>
  <conditionalFormatting sqref="Z11:AF11">
    <cfRule type="expression" dxfId="8159" priority="80">
      <formula>Z11&gt;$AG11</formula>
    </cfRule>
  </conditionalFormatting>
  <conditionalFormatting sqref="B11:Y11">
    <cfRule type="expression" dxfId="8158" priority="76">
      <formula>B$9&gt;=20/24</formula>
    </cfRule>
    <cfRule type="expression" dxfId="8157" priority="77">
      <formula>AND(B$9&gt;=14/24,B$9&lt;20/24)</formula>
    </cfRule>
    <cfRule type="expression" dxfId="8156" priority="78">
      <formula>AND(B$9&gt;=8/24,B$9&lt;14/24)</formula>
    </cfRule>
    <cfRule type="expression" dxfId="8155" priority="79">
      <formula>B$9&lt;8/24</formula>
    </cfRule>
  </conditionalFormatting>
  <conditionalFormatting sqref="B11:Y11">
    <cfRule type="expression" dxfId="8154" priority="75">
      <formula>B11&gt;$AG11</formula>
    </cfRule>
  </conditionalFormatting>
  <conditionalFormatting sqref="A16">
    <cfRule type="expression" dxfId="8153" priority="73">
      <formula>$AH16=0</formula>
    </cfRule>
  </conditionalFormatting>
  <conditionalFormatting sqref="AL16">
    <cfRule type="iconSet" priority="74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8152" priority="69">
      <formula>Z$9&gt;=20/24</formula>
    </cfRule>
    <cfRule type="expression" dxfId="8151" priority="70">
      <formula>AND(Z$9&gt;=14/24,Z$9&lt;20/24)</formula>
    </cfRule>
    <cfRule type="expression" dxfId="8150" priority="71">
      <formula>AND(Z$9&gt;=8/24,Z$9&lt;14/24)</formula>
    </cfRule>
    <cfRule type="expression" dxfId="8149" priority="72">
      <formula>Z$9&lt;8/24</formula>
    </cfRule>
  </conditionalFormatting>
  <conditionalFormatting sqref="Z16:AF16">
    <cfRule type="expression" dxfId="8148" priority="68">
      <formula>Z16&gt;$AG16</formula>
    </cfRule>
  </conditionalFormatting>
  <conditionalFormatting sqref="B16:Y16">
    <cfRule type="expression" dxfId="8147" priority="64">
      <formula>B$9&gt;=20/24</formula>
    </cfRule>
    <cfRule type="expression" dxfId="8146" priority="65">
      <formula>AND(B$9&gt;=14/24,B$9&lt;20/24)</formula>
    </cfRule>
    <cfRule type="expression" dxfId="8145" priority="66">
      <formula>AND(B$9&gt;=8/24,B$9&lt;14/24)</formula>
    </cfRule>
    <cfRule type="expression" dxfId="8144" priority="67">
      <formula>B$9&lt;8/24</formula>
    </cfRule>
  </conditionalFormatting>
  <conditionalFormatting sqref="B16:Y16">
    <cfRule type="expression" dxfId="8143" priority="63">
      <formula>B16&gt;$AG16</formula>
    </cfRule>
  </conditionalFormatting>
  <conditionalFormatting sqref="A33">
    <cfRule type="expression" dxfId="8142" priority="61">
      <formula>$AH33=0</formula>
    </cfRule>
  </conditionalFormatting>
  <conditionalFormatting sqref="AL33">
    <cfRule type="iconSet" priority="62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8141" priority="57">
      <formula>Z$9&gt;=20/24</formula>
    </cfRule>
    <cfRule type="expression" dxfId="8140" priority="58">
      <formula>AND(Z$9&gt;=14/24,Z$9&lt;20/24)</formula>
    </cfRule>
    <cfRule type="expression" dxfId="8139" priority="59">
      <formula>AND(Z$9&gt;=8/24,Z$9&lt;14/24)</formula>
    </cfRule>
    <cfRule type="expression" dxfId="8138" priority="60">
      <formula>Z$9&lt;8/24</formula>
    </cfRule>
  </conditionalFormatting>
  <conditionalFormatting sqref="Z33:AF33">
    <cfRule type="expression" dxfId="8137" priority="56">
      <formula>Z33&gt;$AG33</formula>
    </cfRule>
  </conditionalFormatting>
  <conditionalFormatting sqref="B33:Y33">
    <cfRule type="expression" dxfId="8136" priority="52">
      <formula>B$9&gt;=20/24</formula>
    </cfRule>
    <cfRule type="expression" dxfId="8135" priority="53">
      <formula>AND(B$9&gt;=14/24,B$9&lt;20/24)</formula>
    </cfRule>
    <cfRule type="expression" dxfId="8134" priority="54">
      <formula>AND(B$9&gt;=8/24,B$9&lt;14/24)</formula>
    </cfRule>
    <cfRule type="expression" dxfId="8133" priority="55">
      <formula>B$9&lt;8/24</formula>
    </cfRule>
  </conditionalFormatting>
  <conditionalFormatting sqref="B33:Y33">
    <cfRule type="expression" dxfId="8132" priority="51">
      <formula>B33&gt;$AG33</formula>
    </cfRule>
  </conditionalFormatting>
  <conditionalFormatting sqref="A44">
    <cfRule type="expression" dxfId="8131" priority="49">
      <formula>$AH44=0</formula>
    </cfRule>
  </conditionalFormatting>
  <conditionalFormatting sqref="AL44">
    <cfRule type="iconSet" priority="50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8130" priority="48">
      <formula>Z44&gt;$AG44</formula>
    </cfRule>
  </conditionalFormatting>
  <conditionalFormatting sqref="Z44:AF44">
    <cfRule type="expression" dxfId="8129" priority="44">
      <formula>Z$9&gt;=20/24</formula>
    </cfRule>
    <cfRule type="expression" dxfId="8128" priority="45">
      <formula>AND(Z$9&gt;=14/24,Z$9&lt;20/24)</formula>
    </cfRule>
    <cfRule type="expression" dxfId="8127" priority="46">
      <formula>AND(Z$9&gt;=8/24,Z$9&lt;14/24)</formula>
    </cfRule>
    <cfRule type="expression" dxfId="8126" priority="47">
      <formula>Z$9&lt;8/24</formula>
    </cfRule>
  </conditionalFormatting>
  <conditionalFormatting sqref="B44:Y44">
    <cfRule type="expression" dxfId="8125" priority="40">
      <formula>B$9&gt;=20/24</formula>
    </cfRule>
    <cfRule type="expression" dxfId="8124" priority="41">
      <formula>AND(B$9&gt;=14/24,B$9&lt;20/24)</formula>
    </cfRule>
    <cfRule type="expression" dxfId="8123" priority="42">
      <formula>AND(B$9&gt;=8/24,B$9&lt;14/24)</formula>
    </cfRule>
    <cfRule type="expression" dxfId="8122" priority="43">
      <formula>B$9&lt;8/24</formula>
    </cfRule>
  </conditionalFormatting>
  <conditionalFormatting sqref="B44:Y44">
    <cfRule type="expression" dxfId="8121" priority="39">
      <formula>B44&gt;$AG44</formula>
    </cfRule>
  </conditionalFormatting>
  <conditionalFormatting sqref="B117">
    <cfRule type="expression" dxfId="8120" priority="27">
      <formula>B$9&gt;=20/24</formula>
    </cfRule>
    <cfRule type="expression" dxfId="8119" priority="28">
      <formula>AND(B$9&gt;=14/24,B$9&lt;20/24)</formula>
    </cfRule>
    <cfRule type="expression" dxfId="8118" priority="29">
      <formula>AND(B$9&gt;=8/24,B$9&lt;14/24)</formula>
    </cfRule>
    <cfRule type="expression" dxfId="8117" priority="30">
      <formula>B$9&lt;8/24</formula>
    </cfRule>
  </conditionalFormatting>
  <conditionalFormatting sqref="D117:AF117">
    <cfRule type="expression" dxfId="8116" priority="35">
      <formula>D$9&gt;=20/24</formula>
    </cfRule>
    <cfRule type="expression" dxfId="8115" priority="36">
      <formula>AND(D$9&gt;=14/24,D$9&lt;20/24)</formula>
    </cfRule>
    <cfRule type="expression" dxfId="8114" priority="37">
      <formula>AND(D$9&gt;=8/24,D$9&lt;14/24)</formula>
    </cfRule>
    <cfRule type="expression" dxfId="8113" priority="38">
      <formula>D$9&lt;8/24</formula>
    </cfRule>
  </conditionalFormatting>
  <conditionalFormatting sqref="C117">
    <cfRule type="expression" dxfId="8112" priority="31">
      <formula>C$9&gt;=20/24</formula>
    </cfRule>
    <cfRule type="expression" dxfId="8111" priority="32">
      <formula>AND(C$9&gt;=14/24,C$9&lt;20/24)</formula>
    </cfRule>
    <cfRule type="expression" dxfId="8110" priority="33">
      <formula>AND(C$9&gt;=8/24,C$9&lt;14/24)</formula>
    </cfRule>
    <cfRule type="expression" dxfId="8109" priority="34">
      <formula>C$9&lt;8/24</formula>
    </cfRule>
  </conditionalFormatting>
  <conditionalFormatting sqref="U53:Y58">
    <cfRule type="expression" dxfId="8108" priority="23">
      <formula>U$9&gt;=20/24</formula>
    </cfRule>
    <cfRule type="expression" dxfId="8107" priority="24">
      <formula>AND(U$9&gt;=14/24,U$9&lt;20/24)</formula>
    </cfRule>
    <cfRule type="expression" dxfId="8106" priority="25">
      <formula>AND(U$9&gt;=8/24,U$9&lt;14/24)</formula>
    </cfRule>
    <cfRule type="expression" dxfId="8105" priority="26">
      <formula>U$9&lt;8/24</formula>
    </cfRule>
  </conditionalFormatting>
  <conditionalFormatting sqref="U53:Y58">
    <cfRule type="expression" dxfId="8104" priority="22">
      <formula>U53&gt;$AG53</formula>
    </cfRule>
  </conditionalFormatting>
  <conditionalFormatting sqref="U59:Y64">
    <cfRule type="expression" dxfId="8103" priority="18">
      <formula>U$9&gt;=20/24</formula>
    </cfRule>
    <cfRule type="expression" dxfId="8102" priority="19">
      <formula>AND(U$9&gt;=14/24,U$9&lt;20/24)</formula>
    </cfRule>
    <cfRule type="expression" dxfId="8101" priority="20">
      <formula>AND(U$9&gt;=8/24,U$9&lt;14/24)</formula>
    </cfRule>
    <cfRule type="expression" dxfId="8100" priority="21">
      <formula>U$9&lt;8/24</formula>
    </cfRule>
  </conditionalFormatting>
  <conditionalFormatting sqref="U59:Y64">
    <cfRule type="expression" dxfId="8099" priority="17">
      <formula>U59&gt;$AG59</formula>
    </cfRule>
  </conditionalFormatting>
  <conditionalFormatting sqref="U71">
    <cfRule type="expression" dxfId="8098" priority="13">
      <formula>U$9&gt;=20/24</formula>
    </cfRule>
    <cfRule type="expression" dxfId="8097" priority="14">
      <formula>AND(U$9&gt;=14/24,U$9&lt;20/24)</formula>
    </cfRule>
    <cfRule type="expression" dxfId="8096" priority="15">
      <formula>AND(U$9&gt;=8/24,U$9&lt;14/24)</formula>
    </cfRule>
    <cfRule type="expression" dxfId="8095" priority="16">
      <formula>U$9&lt;8/24</formula>
    </cfRule>
  </conditionalFormatting>
  <conditionalFormatting sqref="U72:U73">
    <cfRule type="expression" dxfId="8094" priority="9">
      <formula>U$9&gt;=20/24</formula>
    </cfRule>
    <cfRule type="expression" dxfId="8093" priority="10">
      <formula>AND(U$9&gt;=14/24,U$9&lt;20/24)</formula>
    </cfRule>
    <cfRule type="expression" dxfId="8092" priority="11">
      <formula>AND(U$9&gt;=8/24,U$9&lt;14/24)</formula>
    </cfRule>
    <cfRule type="expression" dxfId="8091" priority="12">
      <formula>U$9&lt;8/24</formula>
    </cfRule>
  </conditionalFormatting>
  <conditionalFormatting sqref="U74:Y76">
    <cfRule type="expression" dxfId="8090" priority="5">
      <formula>U$9&gt;=20/24</formula>
    </cfRule>
    <cfRule type="expression" dxfId="8089" priority="6">
      <formula>AND(U$9&gt;=14/24,U$9&lt;20/24)</formula>
    </cfRule>
    <cfRule type="expression" dxfId="8088" priority="7">
      <formula>AND(U$9&gt;=8/24,U$9&lt;14/24)</formula>
    </cfRule>
    <cfRule type="expression" dxfId="8087" priority="8">
      <formula>U$9&lt;8/24</formula>
    </cfRule>
  </conditionalFormatting>
  <conditionalFormatting sqref="U77:Y81">
    <cfRule type="expression" dxfId="8086" priority="1">
      <formula>U$9&gt;=20/24</formula>
    </cfRule>
    <cfRule type="expression" dxfId="8085" priority="2">
      <formula>AND(U$9&gt;=14/24,U$9&lt;20/24)</formula>
    </cfRule>
    <cfRule type="expression" dxfId="8084" priority="3">
      <formula>AND(U$9&gt;=8/24,U$9&lt;14/24)</formula>
    </cfRule>
    <cfRule type="expression" dxfId="8083" priority="4">
      <formula>U$9&lt;8/24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7" id="{FF460C9E-CD38-4009-9111-C26962CD54D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8" id="{B62B37F7-1809-43CC-999D-6918CAF04DF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9" id="{83D1DC2E-F52D-4E63-A03B-30DDCEA13A0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10" id="{FDFD5A09-6DAE-45ED-9793-C4F179ACF6E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95" id="{CEA43669-9F9D-423C-A125-FDF67B7E979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96" id="{ED0DDF6C-2AD4-41FA-8811-BA80AA1B0E0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7" id="{4170BC03-C198-4E98-909D-C47304DC3C9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8" id="{0FDE9414-8B31-497D-92F5-288962D8633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workbookViewId="0">
      <pane ySplit="10" topLeftCell="A95" activePane="bottomLeft" state="frozen"/>
      <selection activeCell="Z85" sqref="Z85"/>
      <selection pane="bottomLeft" activeCell="R116" sqref="R116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2079/12/6</v>
      </c>
      <c r="C4" s="236"/>
      <c r="D4" s="236"/>
      <c r="E4" s="237" t="str">
        <f ca="1">"2079/"&amp;"12/"&amp;INT(MID(CELL("filename",G6),FIND("]",CELL("filename",G6))+1,200))</f>
        <v>2079/12/6</v>
      </c>
      <c r="F4" s="237"/>
      <c r="G4" s="237"/>
      <c r="H4" s="237" t="str">
        <f ca="1">TEXT(E4,"dddd")</f>
        <v>Wednesday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385.3</v>
      </c>
      <c r="C5" s="33">
        <f t="shared" si="0"/>
        <v>393.8</v>
      </c>
      <c r="D5" s="33">
        <f t="shared" si="0"/>
        <v>419.70000000000005</v>
      </c>
      <c r="E5" s="33">
        <f t="shared" si="0"/>
        <v>430.1</v>
      </c>
      <c r="F5" s="33">
        <f t="shared" si="0"/>
        <v>395</v>
      </c>
      <c r="G5" s="33">
        <f t="shared" si="0"/>
        <v>402</v>
      </c>
      <c r="H5" s="33">
        <f t="shared" si="0"/>
        <v>455</v>
      </c>
      <c r="I5" s="33">
        <f t="shared" si="0"/>
        <v>385</v>
      </c>
      <c r="J5" s="33">
        <f t="shared" si="0"/>
        <v>351</v>
      </c>
      <c r="K5" s="33">
        <f t="shared" si="0"/>
        <v>415</v>
      </c>
      <c r="L5" s="33">
        <f t="shared" si="0"/>
        <v>502.90000000000003</v>
      </c>
      <c r="M5" s="33">
        <f t="shared" si="0"/>
        <v>607.09999999999991</v>
      </c>
      <c r="N5" s="33">
        <f t="shared" si="0"/>
        <v>691.19999999999993</v>
      </c>
      <c r="O5" s="33">
        <f t="shared" si="0"/>
        <v>637.29999999999995</v>
      </c>
      <c r="P5" s="33">
        <f t="shared" si="0"/>
        <v>659.6</v>
      </c>
      <c r="Q5" s="33">
        <f t="shared" si="0"/>
        <v>671.6</v>
      </c>
      <c r="R5" s="33">
        <f t="shared" si="0"/>
        <v>681.6</v>
      </c>
      <c r="S5" s="33">
        <f t="shared" si="0"/>
        <v>594</v>
      </c>
      <c r="T5" s="33">
        <f t="shared" si="0"/>
        <v>631.6</v>
      </c>
      <c r="U5" s="33">
        <f t="shared" si="0"/>
        <v>616</v>
      </c>
      <c r="V5" s="33">
        <f t="shared" si="0"/>
        <v>629</v>
      </c>
      <c r="W5" s="33">
        <f t="shared" si="0"/>
        <v>570</v>
      </c>
      <c r="X5" s="33">
        <f t="shared" si="0"/>
        <v>528.5</v>
      </c>
      <c r="Y5" s="33">
        <f t="shared" si="0"/>
        <v>596.49999999999989</v>
      </c>
      <c r="Z5" s="33">
        <f t="shared" si="0"/>
        <v>578.29999999999995</v>
      </c>
      <c r="AA5" s="33">
        <f t="shared" si="0"/>
        <v>532</v>
      </c>
      <c r="AB5" s="33">
        <f t="shared" si="0"/>
        <v>514</v>
      </c>
      <c r="AC5" s="33">
        <f t="shared" si="0"/>
        <v>514</v>
      </c>
      <c r="AD5" s="33">
        <f t="shared" si="0"/>
        <v>452</v>
      </c>
      <c r="AE5" s="33">
        <f t="shared" si="0"/>
        <v>85</v>
      </c>
      <c r="AF5" s="33">
        <f>B82</f>
        <v>397.8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1560MW at 8:00hr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Load=1116</v>
      </c>
      <c r="B7" s="38">
        <f t="shared" ref="B7:AF7" si="1">B89</f>
        <v>1341.64</v>
      </c>
      <c r="C7" s="38">
        <f t="shared" si="1"/>
        <v>1210.6400000000001</v>
      </c>
      <c r="D7" s="38">
        <f t="shared" si="1"/>
        <v>1189.1400000000001</v>
      </c>
      <c r="E7" s="38">
        <f t="shared" si="1"/>
        <v>1215.04</v>
      </c>
      <c r="F7" s="38">
        <f t="shared" si="1"/>
        <v>1175.44</v>
      </c>
      <c r="G7" s="38">
        <f t="shared" si="1"/>
        <v>1116.3399999999999</v>
      </c>
      <c r="H7" s="38">
        <f t="shared" si="1"/>
        <v>1119.54</v>
      </c>
      <c r="I7" s="38">
        <f t="shared" si="1"/>
        <v>1145.74</v>
      </c>
      <c r="J7" s="38">
        <f t="shared" si="1"/>
        <v>1173.94</v>
      </c>
      <c r="K7" s="38">
        <f t="shared" si="1"/>
        <v>1381.57</v>
      </c>
      <c r="L7" s="38">
        <f t="shared" si="1"/>
        <v>1527.54</v>
      </c>
      <c r="M7" s="38">
        <f t="shared" si="1"/>
        <v>1559.74</v>
      </c>
      <c r="N7" s="38">
        <f>N89</f>
        <v>1492.1399999999999</v>
      </c>
      <c r="O7" s="38">
        <f t="shared" si="1"/>
        <v>1549.7399999999998</v>
      </c>
      <c r="P7" s="38">
        <f t="shared" si="1"/>
        <v>1538.34</v>
      </c>
      <c r="Q7" s="38">
        <f t="shared" si="1"/>
        <v>1569.3400000000001</v>
      </c>
      <c r="R7" s="38">
        <f t="shared" si="1"/>
        <v>1618.44</v>
      </c>
      <c r="S7" s="38">
        <f t="shared" si="1"/>
        <v>1627.3400000000001</v>
      </c>
      <c r="T7" s="38">
        <f t="shared" si="1"/>
        <v>1596.44</v>
      </c>
      <c r="U7" s="38">
        <f t="shared" si="1"/>
        <v>1562.3400000000001</v>
      </c>
      <c r="V7" s="38">
        <f t="shared" si="1"/>
        <v>1701.1399999999999</v>
      </c>
      <c r="W7" s="38">
        <f t="shared" si="1"/>
        <v>1701.54</v>
      </c>
      <c r="X7" s="38">
        <f t="shared" si="1"/>
        <v>1633.04</v>
      </c>
      <c r="Y7" s="38">
        <f t="shared" si="1"/>
        <v>1594.04</v>
      </c>
      <c r="Z7" s="38">
        <f t="shared" si="1"/>
        <v>1788.34</v>
      </c>
      <c r="AA7" s="38">
        <f t="shared" si="1"/>
        <v>1780.1399999999999</v>
      </c>
      <c r="AB7" s="38">
        <f t="shared" si="1"/>
        <v>1693.3400000000001</v>
      </c>
      <c r="AC7" s="38">
        <f t="shared" si="1"/>
        <v>1705.3400000000001</v>
      </c>
      <c r="AD7" s="38">
        <f t="shared" si="1"/>
        <v>1705.3400000000001</v>
      </c>
      <c r="AE7" s="38">
        <f t="shared" si="1"/>
        <v>1589.3400000000001</v>
      </c>
      <c r="AF7" s="38">
        <f t="shared" si="1"/>
        <v>1138.94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23</v>
      </c>
      <c r="C11" s="50">
        <v>23</v>
      </c>
      <c r="D11" s="50">
        <v>23</v>
      </c>
      <c r="E11" s="50">
        <v>23</v>
      </c>
      <c r="F11" s="50">
        <v>23</v>
      </c>
      <c r="G11" s="50">
        <v>23</v>
      </c>
      <c r="H11" s="50">
        <v>23</v>
      </c>
      <c r="I11" s="50">
        <v>23</v>
      </c>
      <c r="J11" s="50">
        <v>23</v>
      </c>
      <c r="K11" s="50">
        <v>23</v>
      </c>
      <c r="L11" s="50">
        <v>23</v>
      </c>
      <c r="M11" s="50">
        <v>23</v>
      </c>
      <c r="N11" s="50">
        <v>23</v>
      </c>
      <c r="O11" s="50">
        <v>23</v>
      </c>
      <c r="P11" s="50">
        <v>23</v>
      </c>
      <c r="Q11" s="50">
        <v>23</v>
      </c>
      <c r="R11" s="50">
        <v>23</v>
      </c>
      <c r="S11" s="50">
        <v>23</v>
      </c>
      <c r="T11" s="50">
        <v>23</v>
      </c>
      <c r="U11" s="50">
        <v>23</v>
      </c>
      <c r="V11" s="50">
        <v>23</v>
      </c>
      <c r="W11" s="50">
        <v>23</v>
      </c>
      <c r="X11" s="50">
        <v>14</v>
      </c>
      <c r="Y11" s="50">
        <v>24</v>
      </c>
      <c r="Z11" s="50">
        <v>24</v>
      </c>
      <c r="AA11" s="50">
        <v>24</v>
      </c>
      <c r="AB11" s="50">
        <v>24</v>
      </c>
      <c r="AC11" s="50">
        <v>24</v>
      </c>
      <c r="AD11" s="50">
        <v>24</v>
      </c>
      <c r="AE11" s="50">
        <v>24</v>
      </c>
      <c r="AF11" s="50">
        <v>24</v>
      </c>
      <c r="AG11" s="51">
        <v>86</v>
      </c>
      <c r="AH11" s="52">
        <f t="shared" ref="AH11:AH74" si="2">MAX(B11:AF11)</f>
        <v>24</v>
      </c>
      <c r="AI11" s="53">
        <f t="shared" ref="AI11:AI74" si="3">MIN(B11:AF11)</f>
        <v>14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14.5</v>
      </c>
      <c r="C12" s="50">
        <v>14.5</v>
      </c>
      <c r="D12" s="50">
        <v>14.5</v>
      </c>
      <c r="E12" s="50">
        <v>14.5</v>
      </c>
      <c r="F12" s="50">
        <v>14.5</v>
      </c>
      <c r="G12" s="50">
        <v>14.5</v>
      </c>
      <c r="H12" s="50">
        <v>14.5</v>
      </c>
      <c r="I12" s="50">
        <v>14.5</v>
      </c>
      <c r="J12" s="50">
        <v>14.5</v>
      </c>
      <c r="K12" s="50">
        <v>14.5</v>
      </c>
      <c r="L12" s="50">
        <v>14.5</v>
      </c>
      <c r="M12" s="50">
        <v>14.5</v>
      </c>
      <c r="N12" s="50">
        <v>14.5</v>
      </c>
      <c r="O12" s="50">
        <v>14.5</v>
      </c>
      <c r="P12" s="50">
        <v>14.5</v>
      </c>
      <c r="Q12" s="50">
        <v>13</v>
      </c>
      <c r="R12" s="50">
        <v>13</v>
      </c>
      <c r="S12" s="50">
        <v>13</v>
      </c>
      <c r="T12" s="50">
        <v>13</v>
      </c>
      <c r="U12" s="50">
        <v>13</v>
      </c>
      <c r="V12" s="50">
        <v>13</v>
      </c>
      <c r="W12" s="50">
        <v>13</v>
      </c>
      <c r="X12" s="50">
        <v>13</v>
      </c>
      <c r="Y12" s="50">
        <v>13</v>
      </c>
      <c r="Z12" s="50">
        <v>13</v>
      </c>
      <c r="AA12" s="50">
        <v>13</v>
      </c>
      <c r="AB12" s="50">
        <v>13</v>
      </c>
      <c r="AC12" s="50">
        <v>13</v>
      </c>
      <c r="AD12" s="50">
        <v>13</v>
      </c>
      <c r="AE12" s="50">
        <v>13</v>
      </c>
      <c r="AF12" s="50">
        <v>13</v>
      </c>
      <c r="AG12" s="51">
        <v>52.4</v>
      </c>
      <c r="AH12" s="52">
        <f t="shared" si="2"/>
        <v>14.5</v>
      </c>
      <c r="AI12" s="53">
        <f t="shared" si="3"/>
        <v>13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39</v>
      </c>
      <c r="C13" s="50">
        <v>39</v>
      </c>
      <c r="D13" s="50">
        <v>39</v>
      </c>
      <c r="E13" s="50">
        <v>39</v>
      </c>
      <c r="F13" s="50">
        <v>39</v>
      </c>
      <c r="G13" s="50">
        <v>39</v>
      </c>
      <c r="H13" s="50">
        <v>39</v>
      </c>
      <c r="I13" s="50">
        <v>39</v>
      </c>
      <c r="J13" s="50">
        <v>39</v>
      </c>
      <c r="K13" s="50">
        <v>39</v>
      </c>
      <c r="L13" s="50">
        <v>39</v>
      </c>
      <c r="M13" s="50">
        <v>39</v>
      </c>
      <c r="N13" s="50">
        <v>39</v>
      </c>
      <c r="O13" s="50">
        <v>39</v>
      </c>
      <c r="P13" s="50">
        <v>39</v>
      </c>
      <c r="Q13" s="50">
        <v>36</v>
      </c>
      <c r="R13" s="50">
        <v>36</v>
      </c>
      <c r="S13" s="50">
        <v>36</v>
      </c>
      <c r="T13" s="50">
        <v>36</v>
      </c>
      <c r="U13" s="50">
        <v>36</v>
      </c>
      <c r="V13" s="50">
        <v>36</v>
      </c>
      <c r="W13" s="50">
        <v>36</v>
      </c>
      <c r="X13" s="50">
        <v>36</v>
      </c>
      <c r="Y13" s="50">
        <v>36</v>
      </c>
      <c r="Z13" s="50">
        <v>36</v>
      </c>
      <c r="AA13" s="50">
        <v>36</v>
      </c>
      <c r="AB13" s="50">
        <v>36</v>
      </c>
      <c r="AC13" s="50">
        <v>36</v>
      </c>
      <c r="AD13" s="50">
        <v>36</v>
      </c>
      <c r="AE13" s="50">
        <v>36</v>
      </c>
      <c r="AF13" s="50">
        <v>41</v>
      </c>
      <c r="AG13" s="55">
        <v>50</v>
      </c>
      <c r="AH13" s="52">
        <f t="shared" si="2"/>
        <v>41</v>
      </c>
      <c r="AI13" s="53">
        <f t="shared" si="3"/>
        <v>36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16.3</v>
      </c>
      <c r="C14" s="50">
        <v>16.3</v>
      </c>
      <c r="D14" s="50">
        <v>16.3</v>
      </c>
      <c r="E14" s="50">
        <v>16.3</v>
      </c>
      <c r="F14" s="50">
        <v>16.3</v>
      </c>
      <c r="G14" s="50">
        <v>16.3</v>
      </c>
      <c r="H14" s="50">
        <v>16.3</v>
      </c>
      <c r="I14" s="50">
        <v>16.3</v>
      </c>
      <c r="J14" s="50">
        <v>16.3</v>
      </c>
      <c r="K14" s="50">
        <v>16.3</v>
      </c>
      <c r="L14" s="50">
        <v>16.3</v>
      </c>
      <c r="M14" s="50">
        <v>16.3</v>
      </c>
      <c r="N14" s="50">
        <v>16.3</v>
      </c>
      <c r="O14" s="50">
        <v>16.3</v>
      </c>
      <c r="P14" s="50">
        <v>16.3</v>
      </c>
      <c r="Q14" s="50">
        <v>15.5</v>
      </c>
      <c r="R14" s="50">
        <v>15.5</v>
      </c>
      <c r="S14" s="50">
        <v>15.5</v>
      </c>
      <c r="T14" s="50">
        <v>15.5</v>
      </c>
      <c r="U14" s="50">
        <v>15.5</v>
      </c>
      <c r="V14" s="50">
        <v>15.5</v>
      </c>
      <c r="W14" s="50">
        <v>15.5</v>
      </c>
      <c r="X14" s="50">
        <v>15.5</v>
      </c>
      <c r="Y14" s="50">
        <v>15.5</v>
      </c>
      <c r="Z14" s="50">
        <v>15.5</v>
      </c>
      <c r="AA14" s="50">
        <v>15.5</v>
      </c>
      <c r="AB14" s="50">
        <v>15.5</v>
      </c>
      <c r="AC14" s="50">
        <v>15.5</v>
      </c>
      <c r="AD14" s="50">
        <v>15.5</v>
      </c>
      <c r="AE14" s="50">
        <v>15.5</v>
      </c>
      <c r="AF14" s="50">
        <v>15.5</v>
      </c>
      <c r="AG14" s="55">
        <v>45</v>
      </c>
      <c r="AH14" s="52">
        <f t="shared" si="2"/>
        <v>16.3</v>
      </c>
      <c r="AI14" s="53">
        <f t="shared" si="3"/>
        <v>15.5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11.5</v>
      </c>
      <c r="C15" s="50">
        <v>11.5</v>
      </c>
      <c r="D15" s="50">
        <v>11.5</v>
      </c>
      <c r="E15" s="50">
        <v>11.5</v>
      </c>
      <c r="F15" s="50">
        <v>11.5</v>
      </c>
      <c r="G15" s="50">
        <v>11.5</v>
      </c>
      <c r="H15" s="50">
        <v>11.5</v>
      </c>
      <c r="I15" s="50">
        <v>11.5</v>
      </c>
      <c r="J15" s="50">
        <v>11.5</v>
      </c>
      <c r="K15" s="50">
        <v>11.5</v>
      </c>
      <c r="L15" s="50">
        <v>11.5</v>
      </c>
      <c r="M15" s="50">
        <v>11.5</v>
      </c>
      <c r="N15" s="50">
        <v>11.5</v>
      </c>
      <c r="O15" s="50">
        <v>11.5</v>
      </c>
      <c r="P15" s="50">
        <v>11.5</v>
      </c>
      <c r="Q15" s="50">
        <v>11</v>
      </c>
      <c r="R15" s="50">
        <v>11</v>
      </c>
      <c r="S15" s="50">
        <v>11</v>
      </c>
      <c r="T15" s="50">
        <v>11</v>
      </c>
      <c r="U15" s="50">
        <v>11</v>
      </c>
      <c r="V15" s="50">
        <v>11</v>
      </c>
      <c r="W15" s="50">
        <v>11</v>
      </c>
      <c r="X15" s="50">
        <v>11</v>
      </c>
      <c r="Y15" s="50">
        <v>11</v>
      </c>
      <c r="Z15" s="50">
        <v>11</v>
      </c>
      <c r="AA15" s="50">
        <v>11</v>
      </c>
      <c r="AB15" s="50">
        <v>11</v>
      </c>
      <c r="AC15" s="50">
        <v>11</v>
      </c>
      <c r="AD15" s="50">
        <v>11</v>
      </c>
      <c r="AE15" s="50">
        <v>11</v>
      </c>
      <c r="AF15" s="50">
        <v>11</v>
      </c>
      <c r="AG15" s="55">
        <v>42</v>
      </c>
      <c r="AH15" s="52">
        <f t="shared" si="2"/>
        <v>11.5</v>
      </c>
      <c r="AI15" s="53">
        <f t="shared" si="3"/>
        <v>11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14</v>
      </c>
      <c r="C16" s="50">
        <v>14</v>
      </c>
      <c r="D16" s="50">
        <v>14</v>
      </c>
      <c r="E16" s="50">
        <v>14</v>
      </c>
      <c r="F16" s="50">
        <v>14</v>
      </c>
      <c r="G16" s="50">
        <v>14</v>
      </c>
      <c r="H16" s="50">
        <v>14</v>
      </c>
      <c r="I16" s="50">
        <v>14</v>
      </c>
      <c r="J16" s="50">
        <v>14</v>
      </c>
      <c r="K16" s="50">
        <v>14</v>
      </c>
      <c r="L16" s="50">
        <v>14</v>
      </c>
      <c r="M16" s="50">
        <v>14</v>
      </c>
      <c r="N16" s="50">
        <v>14</v>
      </c>
      <c r="O16" s="50">
        <v>14</v>
      </c>
      <c r="P16" s="50">
        <v>14</v>
      </c>
      <c r="Q16" s="50">
        <v>14</v>
      </c>
      <c r="R16" s="50">
        <v>14</v>
      </c>
      <c r="S16" s="50">
        <v>14</v>
      </c>
      <c r="T16" s="50">
        <v>14</v>
      </c>
      <c r="U16" s="50">
        <v>14</v>
      </c>
      <c r="V16" s="50">
        <v>14</v>
      </c>
      <c r="W16" s="50">
        <v>14</v>
      </c>
      <c r="X16" s="50">
        <v>14</v>
      </c>
      <c r="Y16" s="50">
        <v>14</v>
      </c>
      <c r="Z16" s="50">
        <v>14</v>
      </c>
      <c r="AA16" s="50">
        <v>14</v>
      </c>
      <c r="AB16" s="50">
        <v>14</v>
      </c>
      <c r="AC16" s="50">
        <v>14</v>
      </c>
      <c r="AD16" s="50">
        <v>14</v>
      </c>
      <c r="AE16" s="50">
        <v>14</v>
      </c>
      <c r="AF16" s="50">
        <v>14</v>
      </c>
      <c r="AG16" s="55">
        <v>36</v>
      </c>
      <c r="AH16" s="52">
        <f t="shared" si="2"/>
        <v>14</v>
      </c>
      <c r="AI16" s="53">
        <f t="shared" si="3"/>
        <v>14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10.6</v>
      </c>
      <c r="C18" s="50">
        <v>10.6</v>
      </c>
      <c r="D18" s="50">
        <v>10.6</v>
      </c>
      <c r="E18" s="50">
        <v>10.6</v>
      </c>
      <c r="F18" s="50">
        <v>10.6</v>
      </c>
      <c r="G18" s="50">
        <v>10.6</v>
      </c>
      <c r="H18" s="50">
        <v>10.6</v>
      </c>
      <c r="I18" s="50">
        <v>10.6</v>
      </c>
      <c r="J18" s="50">
        <v>10.6</v>
      </c>
      <c r="K18" s="50">
        <v>10.6</v>
      </c>
      <c r="L18" s="50">
        <v>10.6</v>
      </c>
      <c r="M18" s="50">
        <v>10.6</v>
      </c>
      <c r="N18" s="50">
        <v>10.6</v>
      </c>
      <c r="O18" s="50">
        <v>10.6</v>
      </c>
      <c r="P18" s="50">
        <v>10.6</v>
      </c>
      <c r="Q18" s="50">
        <v>10.9</v>
      </c>
      <c r="R18" s="50">
        <v>10.9</v>
      </c>
      <c r="S18" s="50">
        <v>10.9</v>
      </c>
      <c r="T18" s="50">
        <v>10.9</v>
      </c>
      <c r="U18" s="50">
        <v>10.9</v>
      </c>
      <c r="V18" s="50">
        <v>10.9</v>
      </c>
      <c r="W18" s="50">
        <v>10.9</v>
      </c>
      <c r="X18" s="50">
        <v>10.9</v>
      </c>
      <c r="Y18" s="50">
        <v>10.9</v>
      </c>
      <c r="Z18" s="50">
        <v>10.9</v>
      </c>
      <c r="AA18" s="50">
        <v>10.9</v>
      </c>
      <c r="AB18" s="50">
        <v>10.9</v>
      </c>
      <c r="AC18" s="50">
        <v>10.9</v>
      </c>
      <c r="AD18" s="50">
        <v>10.9</v>
      </c>
      <c r="AE18" s="50">
        <v>10.9</v>
      </c>
      <c r="AF18" s="50">
        <v>10.9</v>
      </c>
      <c r="AG18" s="56">
        <v>30</v>
      </c>
      <c r="AH18" s="52">
        <f t="shared" si="2"/>
        <v>10.9</v>
      </c>
      <c r="AI18" s="53">
        <f t="shared" si="3"/>
        <v>10.6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6.6</v>
      </c>
      <c r="C19" s="50">
        <v>6.6</v>
      </c>
      <c r="D19" s="50">
        <v>6.6</v>
      </c>
      <c r="E19" s="50">
        <v>6.6</v>
      </c>
      <c r="F19" s="50">
        <v>6.6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6.6</v>
      </c>
      <c r="N19" s="50">
        <v>6.6</v>
      </c>
      <c r="O19" s="50">
        <v>6.6</v>
      </c>
      <c r="P19" s="50">
        <v>6.6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6.6</v>
      </c>
      <c r="AA19" s="50">
        <v>6.6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6.6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0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5">
        <v>28</v>
      </c>
      <c r="AH20" s="52">
        <f t="shared" si="2"/>
        <v>0</v>
      </c>
      <c r="AI20" s="53">
        <f t="shared" si="3"/>
        <v>0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6.5</v>
      </c>
      <c r="C21" s="50">
        <v>6.5</v>
      </c>
      <c r="D21" s="50">
        <v>6.5</v>
      </c>
      <c r="E21" s="50">
        <v>6.5</v>
      </c>
      <c r="F21" s="50">
        <v>6.5</v>
      </c>
      <c r="G21" s="50">
        <v>6.5</v>
      </c>
      <c r="H21" s="50">
        <v>6.5</v>
      </c>
      <c r="I21" s="50">
        <v>6.5</v>
      </c>
      <c r="J21" s="50">
        <v>6.5</v>
      </c>
      <c r="K21" s="50">
        <v>6.5</v>
      </c>
      <c r="L21" s="50">
        <v>6.5</v>
      </c>
      <c r="M21" s="50">
        <v>6.5</v>
      </c>
      <c r="N21" s="50">
        <v>6.5</v>
      </c>
      <c r="O21" s="50">
        <v>6.5</v>
      </c>
      <c r="P21" s="50">
        <v>6.5</v>
      </c>
      <c r="Q21" s="50">
        <v>6.5</v>
      </c>
      <c r="R21" s="50">
        <v>6.5</v>
      </c>
      <c r="S21" s="50">
        <v>6.5</v>
      </c>
      <c r="T21" s="50">
        <v>6.5</v>
      </c>
      <c r="U21" s="50">
        <v>6.5</v>
      </c>
      <c r="V21" s="50">
        <v>6.5</v>
      </c>
      <c r="W21" s="50">
        <v>6.5</v>
      </c>
      <c r="X21" s="50">
        <v>6.5</v>
      </c>
      <c r="Y21" s="50">
        <v>6.5</v>
      </c>
      <c r="Z21" s="50">
        <v>6.5</v>
      </c>
      <c r="AA21" s="50">
        <v>6.5</v>
      </c>
      <c r="AB21" s="50">
        <v>6.5</v>
      </c>
      <c r="AC21" s="50">
        <v>6.5</v>
      </c>
      <c r="AD21" s="50">
        <v>6.5</v>
      </c>
      <c r="AE21" s="50">
        <v>6.5</v>
      </c>
      <c r="AF21" s="50">
        <v>6.5</v>
      </c>
      <c r="AG21" s="56">
        <v>30</v>
      </c>
      <c r="AH21" s="52">
        <f t="shared" si="2"/>
        <v>6.5</v>
      </c>
      <c r="AI21" s="53">
        <f t="shared" si="3"/>
        <v>6.5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10.6</v>
      </c>
      <c r="C22" s="50">
        <v>10.6</v>
      </c>
      <c r="D22" s="50">
        <v>10.6</v>
      </c>
      <c r="E22" s="50">
        <v>10.6</v>
      </c>
      <c r="F22" s="50">
        <v>10.6</v>
      </c>
      <c r="G22" s="50">
        <v>10.6</v>
      </c>
      <c r="H22" s="50">
        <v>10.6</v>
      </c>
      <c r="I22" s="50">
        <v>10.6</v>
      </c>
      <c r="J22" s="50">
        <v>10.6</v>
      </c>
      <c r="K22" s="50">
        <v>10.6</v>
      </c>
      <c r="L22" s="50">
        <v>10.6</v>
      </c>
      <c r="M22" s="50">
        <v>10.6</v>
      </c>
      <c r="N22" s="50">
        <v>10.6</v>
      </c>
      <c r="O22" s="50">
        <v>10.6</v>
      </c>
      <c r="P22" s="50">
        <v>10.6</v>
      </c>
      <c r="Q22" s="50">
        <v>9.6999999999999993</v>
      </c>
      <c r="R22" s="50">
        <v>9.6999999999999993</v>
      </c>
      <c r="S22" s="50">
        <v>9.6999999999999993</v>
      </c>
      <c r="T22" s="50">
        <v>9.6999999999999993</v>
      </c>
      <c r="U22" s="50">
        <v>9.6999999999999993</v>
      </c>
      <c r="V22" s="50">
        <v>9.6999999999999993</v>
      </c>
      <c r="W22" s="50">
        <v>9.6999999999999993</v>
      </c>
      <c r="X22" s="50">
        <v>9.6999999999999993</v>
      </c>
      <c r="Y22" s="50">
        <v>9.6999999999999993</v>
      </c>
      <c r="Z22" s="50">
        <v>9.6999999999999993</v>
      </c>
      <c r="AA22" s="50">
        <v>9.6999999999999993</v>
      </c>
      <c r="AB22" s="50">
        <v>9.6999999999999993</v>
      </c>
      <c r="AC22" s="50">
        <v>9.6999999999999993</v>
      </c>
      <c r="AD22" s="50">
        <v>9.6999999999999993</v>
      </c>
      <c r="AE22" s="50">
        <v>9.6999999999999993</v>
      </c>
      <c r="AF22" s="50">
        <v>9.6999999999999993</v>
      </c>
      <c r="AG22" s="55">
        <v>25</v>
      </c>
      <c r="AH22" s="52">
        <f t="shared" si="2"/>
        <v>10.6</v>
      </c>
      <c r="AI22" s="53">
        <f t="shared" si="3"/>
        <v>9.6999999999999993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5">
        <v>25</v>
      </c>
      <c r="AH23" s="52">
        <f t="shared" si="2"/>
        <v>9</v>
      </c>
      <c r="AI23" s="53">
        <f t="shared" si="3"/>
        <v>9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5.8</v>
      </c>
      <c r="C26" s="50">
        <v>5.8</v>
      </c>
      <c r="D26" s="50">
        <v>5.8</v>
      </c>
      <c r="E26" s="50">
        <v>5.8</v>
      </c>
      <c r="F26" s="50">
        <v>5.8</v>
      </c>
      <c r="G26" s="50">
        <v>5.8</v>
      </c>
      <c r="H26" s="50">
        <v>5.8</v>
      </c>
      <c r="I26" s="50">
        <v>5.8</v>
      </c>
      <c r="J26" s="50">
        <v>5.8</v>
      </c>
      <c r="K26" s="50">
        <v>5.8</v>
      </c>
      <c r="L26" s="50">
        <v>5.8</v>
      </c>
      <c r="M26" s="50">
        <v>5.8</v>
      </c>
      <c r="N26" s="50">
        <v>5.8</v>
      </c>
      <c r="O26" s="50">
        <v>5.8</v>
      </c>
      <c r="P26" s="50">
        <v>5.8</v>
      </c>
      <c r="Q26" s="50">
        <v>5.8</v>
      </c>
      <c r="R26" s="50">
        <v>5.8</v>
      </c>
      <c r="S26" s="50">
        <v>5.8</v>
      </c>
      <c r="T26" s="50">
        <v>5.8</v>
      </c>
      <c r="U26" s="50">
        <v>5.8</v>
      </c>
      <c r="V26" s="50">
        <v>5.8</v>
      </c>
      <c r="W26" s="50">
        <v>5.8</v>
      </c>
      <c r="X26" s="50">
        <v>5.8</v>
      </c>
      <c r="Y26" s="50">
        <v>5.8</v>
      </c>
      <c r="Z26" s="50">
        <v>5.8</v>
      </c>
      <c r="AA26" s="50">
        <v>5.8</v>
      </c>
      <c r="AB26" s="50">
        <v>5.8</v>
      </c>
      <c r="AC26" s="50">
        <v>5.8</v>
      </c>
      <c r="AD26" s="50">
        <v>5.8</v>
      </c>
      <c r="AE26" s="50">
        <v>5.8</v>
      </c>
      <c r="AF26" s="50">
        <v>5.8</v>
      </c>
      <c r="AG26" s="55">
        <v>23.5</v>
      </c>
      <c r="AH26" s="52">
        <f t="shared" si="2"/>
        <v>5.8</v>
      </c>
      <c r="AI26" s="53">
        <f t="shared" si="3"/>
        <v>5.8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5">
        <v>22</v>
      </c>
      <c r="AH29" s="52">
        <f t="shared" si="2"/>
        <v>4</v>
      </c>
      <c r="AI29" s="53">
        <f t="shared" si="3"/>
        <v>4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7</v>
      </c>
      <c r="C30" s="50">
        <v>7</v>
      </c>
      <c r="D30" s="50">
        <v>7</v>
      </c>
      <c r="E30" s="50">
        <v>7</v>
      </c>
      <c r="F30" s="50">
        <v>7</v>
      </c>
      <c r="G30" s="50">
        <v>7</v>
      </c>
      <c r="H30" s="50">
        <v>7</v>
      </c>
      <c r="I30" s="50">
        <v>7</v>
      </c>
      <c r="J30" s="50">
        <v>7</v>
      </c>
      <c r="K30" s="50">
        <v>7</v>
      </c>
      <c r="L30" s="50">
        <v>7</v>
      </c>
      <c r="M30" s="50">
        <v>7</v>
      </c>
      <c r="N30" s="50">
        <v>7</v>
      </c>
      <c r="O30" s="50">
        <v>7</v>
      </c>
      <c r="P30" s="50">
        <v>7</v>
      </c>
      <c r="Q30" s="50">
        <v>5</v>
      </c>
      <c r="R30" s="50">
        <v>5</v>
      </c>
      <c r="S30" s="50">
        <v>5</v>
      </c>
      <c r="T30" s="50">
        <v>5</v>
      </c>
      <c r="U30" s="50">
        <v>5</v>
      </c>
      <c r="V30" s="50">
        <v>5</v>
      </c>
      <c r="W30" s="50">
        <v>5</v>
      </c>
      <c r="X30" s="50">
        <v>5</v>
      </c>
      <c r="Y30" s="50">
        <v>5</v>
      </c>
      <c r="Z30" s="50">
        <v>5</v>
      </c>
      <c r="AA30" s="50">
        <v>5</v>
      </c>
      <c r="AB30" s="50">
        <v>5</v>
      </c>
      <c r="AC30" s="50">
        <v>5</v>
      </c>
      <c r="AD30" s="50">
        <v>5</v>
      </c>
      <c r="AE30" s="50">
        <v>5</v>
      </c>
      <c r="AF30" s="50">
        <v>5</v>
      </c>
      <c r="AG30" s="55">
        <v>22</v>
      </c>
      <c r="AH30" s="52">
        <f t="shared" si="2"/>
        <v>7</v>
      </c>
      <c r="AI30" s="53">
        <f t="shared" si="3"/>
        <v>5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55">
        <v>20</v>
      </c>
      <c r="AH31" s="52">
        <f t="shared" si="2"/>
        <v>6</v>
      </c>
      <c r="AI31" s="53">
        <f t="shared" si="3"/>
        <v>6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>
        <v>4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5.2</v>
      </c>
      <c r="C38" s="50">
        <v>5.2</v>
      </c>
      <c r="D38" s="50">
        <v>5.2</v>
      </c>
      <c r="E38" s="50">
        <v>5.2</v>
      </c>
      <c r="F38" s="50">
        <v>5.2</v>
      </c>
      <c r="G38" s="50">
        <v>5.2</v>
      </c>
      <c r="H38" s="50">
        <v>5.2</v>
      </c>
      <c r="I38" s="50">
        <v>5.2</v>
      </c>
      <c r="J38" s="50">
        <v>5.2</v>
      </c>
      <c r="K38" s="50">
        <v>5.2</v>
      </c>
      <c r="L38" s="50">
        <v>5.2</v>
      </c>
      <c r="M38" s="50">
        <v>5.2</v>
      </c>
      <c r="N38" s="50">
        <v>5.2</v>
      </c>
      <c r="O38" s="50">
        <v>5.2</v>
      </c>
      <c r="P38" s="50">
        <v>5.2</v>
      </c>
      <c r="Q38" s="50">
        <v>5.2</v>
      </c>
      <c r="R38" s="50">
        <v>5.2</v>
      </c>
      <c r="S38" s="50">
        <v>5.2</v>
      </c>
      <c r="T38" s="50">
        <v>5.2</v>
      </c>
      <c r="U38" s="50">
        <v>5.2</v>
      </c>
      <c r="V38" s="50">
        <v>5.2</v>
      </c>
      <c r="W38" s="50">
        <v>5.2</v>
      </c>
      <c r="X38" s="50">
        <v>5.2</v>
      </c>
      <c r="Y38" s="50">
        <v>5.2</v>
      </c>
      <c r="Z38" s="50">
        <v>5.2</v>
      </c>
      <c r="AA38" s="50">
        <v>5.2</v>
      </c>
      <c r="AB38" s="50">
        <v>5.2</v>
      </c>
      <c r="AC38" s="50">
        <v>5.2</v>
      </c>
      <c r="AD38" s="50">
        <v>5.2</v>
      </c>
      <c r="AE38" s="50">
        <v>5.2</v>
      </c>
      <c r="AF38" s="50">
        <v>5.2</v>
      </c>
      <c r="AG38" s="55">
        <v>12</v>
      </c>
      <c r="AH38" s="52">
        <f t="shared" si="2"/>
        <v>5.2</v>
      </c>
      <c r="AI38" s="53">
        <f t="shared" si="3"/>
        <v>5.2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50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3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120</v>
      </c>
      <c r="C46" s="63">
        <v>120</v>
      </c>
      <c r="D46" s="63">
        <v>120</v>
      </c>
      <c r="E46" s="63">
        <v>120</v>
      </c>
      <c r="F46" s="63">
        <v>120</v>
      </c>
      <c r="G46" s="63">
        <v>120</v>
      </c>
      <c r="H46" s="63">
        <v>120</v>
      </c>
      <c r="I46" s="63">
        <v>120</v>
      </c>
      <c r="J46" s="63">
        <v>120</v>
      </c>
      <c r="K46" s="63">
        <v>120</v>
      </c>
      <c r="L46" s="63">
        <v>120</v>
      </c>
      <c r="M46" s="63">
        <v>120</v>
      </c>
      <c r="N46" s="63">
        <v>120</v>
      </c>
      <c r="O46" s="63">
        <v>120</v>
      </c>
      <c r="P46" s="63">
        <v>120</v>
      </c>
      <c r="Q46" s="63">
        <v>120</v>
      </c>
      <c r="R46" s="63">
        <v>120</v>
      </c>
      <c r="S46" s="63">
        <v>120</v>
      </c>
      <c r="T46" s="63">
        <v>120</v>
      </c>
      <c r="U46" s="63">
        <v>120</v>
      </c>
      <c r="V46" s="63">
        <v>120</v>
      </c>
      <c r="W46" s="63">
        <v>120</v>
      </c>
      <c r="X46" s="63">
        <v>120</v>
      </c>
      <c r="Y46" s="63">
        <v>120</v>
      </c>
      <c r="Z46" s="63">
        <v>120</v>
      </c>
      <c r="AA46" s="63">
        <v>120</v>
      </c>
      <c r="AB46" s="63">
        <v>120</v>
      </c>
      <c r="AC46" s="63">
        <v>120</v>
      </c>
      <c r="AD46" s="63">
        <v>120</v>
      </c>
      <c r="AE46" s="63">
        <v>120</v>
      </c>
      <c r="AF46" s="63">
        <v>120</v>
      </c>
      <c r="AG46" s="61">
        <v>85</v>
      </c>
      <c r="AH46" s="52">
        <f t="shared" si="2"/>
        <v>120</v>
      </c>
      <c r="AI46" s="53">
        <f t="shared" si="3"/>
        <v>120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>
        <v>33</v>
      </c>
      <c r="L47" s="65">
        <v>33</v>
      </c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33</v>
      </c>
      <c r="AI47" s="53">
        <f t="shared" si="3"/>
        <v>33</v>
      </c>
      <c r="AK47" s="54"/>
    </row>
    <row r="48" spans="1:88" ht="15.75" thickBot="1" x14ac:dyDescent="0.3">
      <c r="A48" s="66" t="s">
        <v>56</v>
      </c>
      <c r="B48" s="67">
        <f t="shared" ref="B48" si="4">SUM(B12:B46)</f>
        <v>359.9</v>
      </c>
      <c r="C48" s="67">
        <f t="shared" ref="C48:AG48" si="5">SUM(C12:C46)</f>
        <v>359.9</v>
      </c>
      <c r="D48" s="67">
        <f t="shared" si="5"/>
        <v>359.9</v>
      </c>
      <c r="E48" s="67">
        <f t="shared" si="5"/>
        <v>359.9</v>
      </c>
      <c r="F48" s="67">
        <f t="shared" si="5"/>
        <v>359.9</v>
      </c>
      <c r="G48" s="67">
        <f t="shared" si="5"/>
        <v>359.9</v>
      </c>
      <c r="H48" s="67">
        <f t="shared" si="5"/>
        <v>359.9</v>
      </c>
      <c r="I48" s="67">
        <f t="shared" si="5"/>
        <v>359.9</v>
      </c>
      <c r="J48" s="67">
        <f t="shared" si="5"/>
        <v>359.9</v>
      </c>
      <c r="K48" s="67">
        <f t="shared" si="5"/>
        <v>359.9</v>
      </c>
      <c r="L48" s="67">
        <f t="shared" si="5"/>
        <v>359.9</v>
      </c>
      <c r="M48" s="67">
        <f t="shared" si="5"/>
        <v>359.9</v>
      </c>
      <c r="N48" s="67">
        <f t="shared" si="5"/>
        <v>359.9</v>
      </c>
      <c r="O48" s="67">
        <f t="shared" si="5"/>
        <v>359.9</v>
      </c>
      <c r="P48" s="67">
        <f t="shared" si="5"/>
        <v>359.9</v>
      </c>
      <c r="Q48" s="67">
        <f t="shared" si="5"/>
        <v>351.5</v>
      </c>
      <c r="R48" s="67">
        <f t="shared" si="5"/>
        <v>351.5</v>
      </c>
      <c r="S48" s="67">
        <f t="shared" si="5"/>
        <v>351.5</v>
      </c>
      <c r="T48" s="67">
        <f t="shared" si="5"/>
        <v>351.5</v>
      </c>
      <c r="U48" s="67">
        <f t="shared" si="5"/>
        <v>351.5</v>
      </c>
      <c r="V48" s="67">
        <f t="shared" si="5"/>
        <v>351.5</v>
      </c>
      <c r="W48" s="67">
        <f t="shared" si="5"/>
        <v>351.5</v>
      </c>
      <c r="X48" s="67">
        <f t="shared" si="5"/>
        <v>351.5</v>
      </c>
      <c r="Y48" s="67">
        <f t="shared" si="5"/>
        <v>351.5</v>
      </c>
      <c r="Z48" s="67">
        <f>SUM(Z11:Z46)</f>
        <v>375.5</v>
      </c>
      <c r="AA48" s="67">
        <f>SUM(AA11:AA46)</f>
        <v>375.5</v>
      </c>
      <c r="AB48" s="67">
        <f t="shared" si="5"/>
        <v>351.5</v>
      </c>
      <c r="AC48" s="67">
        <f t="shared" si="5"/>
        <v>351.5</v>
      </c>
      <c r="AD48" s="67">
        <f t="shared" si="5"/>
        <v>351.5</v>
      </c>
      <c r="AE48" s="67">
        <f t="shared" si="5"/>
        <v>351.5</v>
      </c>
      <c r="AF48" s="67">
        <f t="shared" si="5"/>
        <v>356.5</v>
      </c>
      <c r="AG48" s="68">
        <f t="shared" si="5"/>
        <v>875.68</v>
      </c>
      <c r="AH48" s="52">
        <f t="shared" si="2"/>
        <v>375.5</v>
      </c>
      <c r="AI48" s="53">
        <f t="shared" si="3"/>
        <v>351.5</v>
      </c>
      <c r="AK48" s="54"/>
    </row>
    <row r="49" spans="1:41" x14ac:dyDescent="0.25">
      <c r="A49" s="69" t="s">
        <v>57</v>
      </c>
      <c r="B49" s="50">
        <v>180</v>
      </c>
      <c r="C49" s="50">
        <v>160</v>
      </c>
      <c r="D49" s="50">
        <v>130</v>
      </c>
      <c r="E49" s="50">
        <v>130</v>
      </c>
      <c r="F49" s="50">
        <v>80</v>
      </c>
      <c r="G49" s="50">
        <v>100</v>
      </c>
      <c r="H49" s="50">
        <v>120</v>
      </c>
      <c r="I49" s="50">
        <v>76</v>
      </c>
      <c r="J49" s="50">
        <v>152</v>
      </c>
      <c r="K49" s="50">
        <f>3*76</f>
        <v>228</v>
      </c>
      <c r="L49" s="50">
        <v>200</v>
      </c>
      <c r="M49" s="70">
        <v>140</v>
      </c>
      <c r="N49" s="70">
        <v>30</v>
      </c>
      <c r="O49" s="70">
        <v>30</v>
      </c>
      <c r="P49" s="70">
        <v>30</v>
      </c>
      <c r="Q49" s="50">
        <v>30</v>
      </c>
      <c r="R49" s="50">
        <v>60</v>
      </c>
      <c r="S49" s="50">
        <v>60</v>
      </c>
      <c r="T49" s="50">
        <v>60</v>
      </c>
      <c r="U49" s="50">
        <v>40</v>
      </c>
      <c r="V49" s="50">
        <v>100</v>
      </c>
      <c r="W49" s="50">
        <v>100</v>
      </c>
      <c r="X49" s="50">
        <v>110</v>
      </c>
      <c r="Y49" s="50">
        <v>110</v>
      </c>
      <c r="Z49" s="50">
        <v>110</v>
      </c>
      <c r="AA49" s="50">
        <v>120</v>
      </c>
      <c r="AB49" s="50">
        <v>140</v>
      </c>
      <c r="AC49" s="50">
        <v>170</v>
      </c>
      <c r="AD49" s="50">
        <v>170</v>
      </c>
      <c r="AE49" s="50">
        <v>150</v>
      </c>
      <c r="AF49" s="50">
        <v>228</v>
      </c>
      <c r="AG49" s="56">
        <v>456</v>
      </c>
      <c r="AH49" s="52">
        <f t="shared" si="2"/>
        <v>228</v>
      </c>
      <c r="AI49" s="53">
        <f t="shared" si="3"/>
        <v>30</v>
      </c>
      <c r="AK49" s="54"/>
    </row>
    <row r="50" spans="1:41" x14ac:dyDescent="0.25">
      <c r="A50" s="71" t="s">
        <v>58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25</v>
      </c>
      <c r="O50" s="72">
        <v>25</v>
      </c>
      <c r="P50" s="72">
        <v>25</v>
      </c>
      <c r="Q50" s="72">
        <v>25</v>
      </c>
      <c r="R50" s="72">
        <v>25</v>
      </c>
      <c r="S50" s="72">
        <v>25</v>
      </c>
      <c r="T50" s="72">
        <v>25</v>
      </c>
      <c r="U50" s="72">
        <v>25</v>
      </c>
      <c r="V50" s="72">
        <v>25</v>
      </c>
      <c r="W50" s="72">
        <v>25</v>
      </c>
      <c r="X50" s="72">
        <v>25</v>
      </c>
      <c r="Y50" s="72">
        <v>25</v>
      </c>
      <c r="Z50" s="72">
        <v>25</v>
      </c>
      <c r="AA50" s="72">
        <v>25</v>
      </c>
      <c r="AB50" s="72">
        <v>25</v>
      </c>
      <c r="AC50" s="72">
        <v>25</v>
      </c>
      <c r="AD50" s="72">
        <v>25</v>
      </c>
      <c r="AE50" s="72">
        <v>25</v>
      </c>
      <c r="AF50" s="72">
        <v>25</v>
      </c>
      <c r="AG50" s="61">
        <v>60</v>
      </c>
      <c r="AH50" s="52">
        <f t="shared" si="2"/>
        <v>25</v>
      </c>
      <c r="AI50" s="53">
        <f t="shared" si="3"/>
        <v>25</v>
      </c>
      <c r="AK50" s="54"/>
    </row>
    <row r="51" spans="1:41" ht="15.75" thickBot="1" x14ac:dyDescent="0.3">
      <c r="A51" s="73" t="s">
        <v>59</v>
      </c>
      <c r="B51" s="74">
        <v>12.1</v>
      </c>
      <c r="C51" s="74">
        <v>12.1</v>
      </c>
      <c r="D51" s="74">
        <v>12.1</v>
      </c>
      <c r="E51" s="74">
        <v>12.1</v>
      </c>
      <c r="F51" s="74">
        <v>12.1</v>
      </c>
      <c r="G51" s="74">
        <v>12.1</v>
      </c>
      <c r="H51" s="74">
        <v>12.1</v>
      </c>
      <c r="I51" s="74">
        <v>14.2</v>
      </c>
      <c r="J51" s="74">
        <v>14.1</v>
      </c>
      <c r="K51" s="74">
        <v>14.1</v>
      </c>
      <c r="L51" s="74">
        <v>14.2</v>
      </c>
      <c r="M51" s="74">
        <v>13</v>
      </c>
      <c r="N51" s="74">
        <v>12.7</v>
      </c>
      <c r="O51" s="74">
        <v>12.7</v>
      </c>
      <c r="P51" s="74">
        <v>12.7</v>
      </c>
      <c r="Q51" s="74">
        <v>12.7</v>
      </c>
      <c r="R51" s="74">
        <v>12.7</v>
      </c>
      <c r="S51" s="74">
        <v>12.7</v>
      </c>
      <c r="T51" s="74">
        <v>12.7</v>
      </c>
      <c r="U51" s="74">
        <v>12.7</v>
      </c>
      <c r="V51" s="74">
        <v>12.7</v>
      </c>
      <c r="W51" s="74">
        <v>12.7</v>
      </c>
      <c r="X51" s="74">
        <v>12.7</v>
      </c>
      <c r="Y51" s="74">
        <v>12.7</v>
      </c>
      <c r="Z51" s="74">
        <v>12.7</v>
      </c>
      <c r="AA51" s="74">
        <v>12.7</v>
      </c>
      <c r="AB51" s="74">
        <v>12.7</v>
      </c>
      <c r="AC51" s="74">
        <v>12.7</v>
      </c>
      <c r="AD51" s="74">
        <v>12.7</v>
      </c>
      <c r="AE51" s="74">
        <v>12.7</v>
      </c>
      <c r="AF51" s="74">
        <v>12.7</v>
      </c>
      <c r="AG51" s="75">
        <v>22.1</v>
      </c>
      <c r="AH51" s="52">
        <f t="shared" si="2"/>
        <v>14.2</v>
      </c>
      <c r="AI51" s="53">
        <f t="shared" si="3"/>
        <v>12.1</v>
      </c>
      <c r="AK51" s="54"/>
    </row>
    <row r="52" spans="1:41" ht="15.75" thickBot="1" x14ac:dyDescent="0.3">
      <c r="A52" s="76" t="s">
        <v>60</v>
      </c>
      <c r="B52" s="67">
        <f t="shared" ref="B52" si="6">SUM(B49:B51)</f>
        <v>217.1</v>
      </c>
      <c r="C52" s="67">
        <f t="shared" ref="C52:AG52" si="7">SUM(C49:C51)</f>
        <v>197.1</v>
      </c>
      <c r="D52" s="67">
        <f t="shared" si="7"/>
        <v>167.1</v>
      </c>
      <c r="E52" s="67">
        <f t="shared" si="7"/>
        <v>167.1</v>
      </c>
      <c r="F52" s="67">
        <f t="shared" si="7"/>
        <v>117.1</v>
      </c>
      <c r="G52" s="67">
        <f t="shared" si="7"/>
        <v>137.1</v>
      </c>
      <c r="H52" s="67">
        <f t="shared" si="7"/>
        <v>157.1</v>
      </c>
      <c r="I52" s="67">
        <f t="shared" si="7"/>
        <v>115.2</v>
      </c>
      <c r="J52" s="67">
        <f t="shared" si="7"/>
        <v>191.1</v>
      </c>
      <c r="K52" s="67">
        <f t="shared" si="7"/>
        <v>267.10000000000002</v>
      </c>
      <c r="L52" s="67">
        <f t="shared" si="7"/>
        <v>239.2</v>
      </c>
      <c r="M52" s="67">
        <f t="shared" si="7"/>
        <v>178</v>
      </c>
      <c r="N52" s="67">
        <f t="shared" si="7"/>
        <v>67.7</v>
      </c>
      <c r="O52" s="67">
        <f t="shared" si="7"/>
        <v>67.7</v>
      </c>
      <c r="P52" s="67">
        <f t="shared" si="7"/>
        <v>67.7</v>
      </c>
      <c r="Q52" s="67">
        <f t="shared" si="7"/>
        <v>67.7</v>
      </c>
      <c r="R52" s="67">
        <f t="shared" si="7"/>
        <v>97.7</v>
      </c>
      <c r="S52" s="67">
        <f t="shared" si="7"/>
        <v>97.7</v>
      </c>
      <c r="T52" s="67">
        <f t="shared" si="7"/>
        <v>97.7</v>
      </c>
      <c r="U52" s="67">
        <f t="shared" si="7"/>
        <v>77.7</v>
      </c>
      <c r="V52" s="67">
        <f t="shared" si="7"/>
        <v>137.69999999999999</v>
      </c>
      <c r="W52" s="67">
        <f t="shared" si="7"/>
        <v>137.69999999999999</v>
      </c>
      <c r="X52" s="67">
        <f t="shared" si="7"/>
        <v>147.69999999999999</v>
      </c>
      <c r="Y52" s="67">
        <f t="shared" si="7"/>
        <v>147.69999999999999</v>
      </c>
      <c r="Z52" s="67">
        <f t="shared" si="7"/>
        <v>147.69999999999999</v>
      </c>
      <c r="AA52" s="67">
        <f t="shared" si="7"/>
        <v>157.69999999999999</v>
      </c>
      <c r="AB52" s="67">
        <f t="shared" si="7"/>
        <v>177.7</v>
      </c>
      <c r="AC52" s="67">
        <f t="shared" si="7"/>
        <v>207.7</v>
      </c>
      <c r="AD52" s="67">
        <f t="shared" si="7"/>
        <v>207.7</v>
      </c>
      <c r="AE52" s="67">
        <f t="shared" si="7"/>
        <v>187.7</v>
      </c>
      <c r="AF52" s="67">
        <f t="shared" si="7"/>
        <v>265.7</v>
      </c>
      <c r="AG52" s="68">
        <f t="shared" si="7"/>
        <v>538.1</v>
      </c>
      <c r="AH52" s="52">
        <f t="shared" si="2"/>
        <v>267.10000000000002</v>
      </c>
      <c r="AI52" s="53">
        <f t="shared" si="3"/>
        <v>67.7</v>
      </c>
      <c r="AK52" s="54"/>
    </row>
    <row r="53" spans="1:41" x14ac:dyDescent="0.25">
      <c r="A53" s="49" t="s">
        <v>61</v>
      </c>
      <c r="B53" s="50">
        <v>97.3</v>
      </c>
      <c r="C53" s="50">
        <v>97.3</v>
      </c>
      <c r="D53" s="50">
        <v>97.3</v>
      </c>
      <c r="E53" s="50">
        <v>97.3</v>
      </c>
      <c r="F53" s="50">
        <v>97.3</v>
      </c>
      <c r="G53" s="50">
        <v>97.3</v>
      </c>
      <c r="H53" s="50">
        <v>48.5</v>
      </c>
      <c r="I53" s="50">
        <v>48.5</v>
      </c>
      <c r="J53" s="50">
        <v>30.3</v>
      </c>
      <c r="K53" s="50">
        <v>30.63</v>
      </c>
      <c r="L53" s="50">
        <v>0</v>
      </c>
      <c r="M53" s="50">
        <v>0</v>
      </c>
      <c r="N53" s="50">
        <v>0</v>
      </c>
      <c r="O53" s="50">
        <v>0</v>
      </c>
      <c r="P53" s="50">
        <v>40</v>
      </c>
      <c r="Q53" s="50">
        <v>40</v>
      </c>
      <c r="R53" s="50">
        <v>97.5</v>
      </c>
      <c r="S53" s="50">
        <v>97.5</v>
      </c>
      <c r="T53" s="50">
        <v>97.5</v>
      </c>
      <c r="U53" s="50">
        <v>97.5</v>
      </c>
      <c r="V53" s="50">
        <v>97.5</v>
      </c>
      <c r="W53" s="50">
        <v>97.5</v>
      </c>
      <c r="X53" s="50">
        <v>97.5</v>
      </c>
      <c r="Y53" s="50">
        <v>97.5</v>
      </c>
      <c r="Z53" s="50">
        <v>97.5</v>
      </c>
      <c r="AA53" s="50">
        <v>97.5</v>
      </c>
      <c r="AB53" s="50">
        <v>97.4</v>
      </c>
      <c r="AC53" s="50">
        <v>97.4</v>
      </c>
      <c r="AD53" s="50">
        <v>97.4</v>
      </c>
      <c r="AE53" s="50">
        <v>97.4</v>
      </c>
      <c r="AF53" s="50">
        <v>91</v>
      </c>
      <c r="AG53" s="56">
        <v>144</v>
      </c>
      <c r="AH53" s="52">
        <f t="shared" si="2"/>
        <v>97.5</v>
      </c>
      <c r="AI53" s="53">
        <f t="shared" si="3"/>
        <v>0</v>
      </c>
      <c r="AK53" s="54"/>
    </row>
    <row r="54" spans="1:41" x14ac:dyDescent="0.25">
      <c r="A54" s="60" t="s">
        <v>62</v>
      </c>
      <c r="B54" s="72">
        <v>34</v>
      </c>
      <c r="C54" s="72">
        <v>34</v>
      </c>
      <c r="D54" s="72">
        <v>34</v>
      </c>
      <c r="E54" s="72">
        <v>34</v>
      </c>
      <c r="F54" s="72">
        <v>34</v>
      </c>
      <c r="G54" s="72">
        <v>0</v>
      </c>
      <c r="H54" s="72">
        <v>25</v>
      </c>
      <c r="I54" s="72">
        <v>25</v>
      </c>
      <c r="J54" s="72">
        <v>24.3</v>
      </c>
      <c r="K54" s="72">
        <v>24.8</v>
      </c>
      <c r="L54" s="72">
        <v>35.1</v>
      </c>
      <c r="M54" s="72">
        <v>34.799999999999997</v>
      </c>
      <c r="N54" s="72">
        <v>22.1</v>
      </c>
      <c r="O54" s="72">
        <v>24.7</v>
      </c>
      <c r="P54" s="72">
        <v>24.9</v>
      </c>
      <c r="Q54" s="72">
        <v>49.6</v>
      </c>
      <c r="R54" s="72">
        <v>64.400000000000006</v>
      </c>
      <c r="S54" s="72">
        <v>64.400000000000006</v>
      </c>
      <c r="T54" s="72">
        <v>54.4</v>
      </c>
      <c r="U54" s="72">
        <v>46.5</v>
      </c>
      <c r="V54" s="72">
        <v>46.5</v>
      </c>
      <c r="W54" s="72">
        <v>46.5</v>
      </c>
      <c r="X54" s="72">
        <v>35</v>
      </c>
      <c r="Y54" s="72">
        <v>24.8</v>
      </c>
      <c r="Z54" s="50">
        <v>53.5</v>
      </c>
      <c r="AA54" s="50">
        <v>53.5</v>
      </c>
      <c r="AB54" s="72">
        <v>35</v>
      </c>
      <c r="AC54" s="72">
        <v>35</v>
      </c>
      <c r="AD54" s="72">
        <v>35</v>
      </c>
      <c r="AE54" s="72">
        <v>24</v>
      </c>
      <c r="AF54" s="72">
        <v>24</v>
      </c>
      <c r="AG54" s="61">
        <v>70</v>
      </c>
      <c r="AH54" s="52">
        <f t="shared" si="2"/>
        <v>64.400000000000006</v>
      </c>
      <c r="AI54" s="53">
        <f t="shared" si="3"/>
        <v>0</v>
      </c>
      <c r="AK54" s="54"/>
    </row>
    <row r="55" spans="1:41" x14ac:dyDescent="0.25">
      <c r="A55" s="60" t="s">
        <v>63</v>
      </c>
      <c r="B55" s="72">
        <v>44.9</v>
      </c>
      <c r="C55" s="72">
        <v>44.9</v>
      </c>
      <c r="D55" s="72">
        <v>44.9</v>
      </c>
      <c r="E55" s="72">
        <v>44.9</v>
      </c>
      <c r="F55" s="72">
        <v>44.9</v>
      </c>
      <c r="G55" s="72">
        <v>44.9</v>
      </c>
      <c r="H55" s="72">
        <v>44.9</v>
      </c>
      <c r="I55" s="72">
        <v>60</v>
      </c>
      <c r="J55" s="72">
        <v>49</v>
      </c>
      <c r="K55" s="72">
        <v>61.8</v>
      </c>
      <c r="L55" s="72">
        <v>43.8</v>
      </c>
      <c r="M55" s="72">
        <v>44.2</v>
      </c>
      <c r="N55" s="72">
        <v>33.5</v>
      </c>
      <c r="O55" s="72">
        <v>16.3</v>
      </c>
      <c r="P55" s="72">
        <v>16.399999999999999</v>
      </c>
      <c r="Q55" s="72">
        <v>36.200000000000003</v>
      </c>
      <c r="R55" s="72">
        <v>68</v>
      </c>
      <c r="S55" s="72">
        <v>68</v>
      </c>
      <c r="T55" s="72">
        <v>69.599999999999994</v>
      </c>
      <c r="U55" s="72">
        <v>44</v>
      </c>
      <c r="V55" s="72">
        <v>32</v>
      </c>
      <c r="W55" s="72">
        <v>32</v>
      </c>
      <c r="X55" s="72">
        <v>22</v>
      </c>
      <c r="Y55" s="72">
        <v>32.4</v>
      </c>
      <c r="Z55" s="50">
        <v>69</v>
      </c>
      <c r="AA55" s="50">
        <v>69</v>
      </c>
      <c r="AB55" s="72">
        <v>53</v>
      </c>
      <c r="AC55" s="72">
        <v>53</v>
      </c>
      <c r="AD55" s="72">
        <v>53</v>
      </c>
      <c r="AE55" s="72">
        <v>32</v>
      </c>
      <c r="AF55" s="72">
        <v>32</v>
      </c>
      <c r="AG55" s="61">
        <v>69</v>
      </c>
      <c r="AH55" s="52">
        <f t="shared" si="2"/>
        <v>69.599999999999994</v>
      </c>
      <c r="AI55" s="53">
        <f t="shared" si="3"/>
        <v>16.3</v>
      </c>
      <c r="AK55" s="54"/>
    </row>
    <row r="56" spans="1:41" x14ac:dyDescent="0.25">
      <c r="A56" s="60" t="s">
        <v>64</v>
      </c>
      <c r="B56" s="50">
        <v>40.1</v>
      </c>
      <c r="C56" s="50">
        <v>40.1</v>
      </c>
      <c r="D56" s="50">
        <v>40.1</v>
      </c>
      <c r="E56" s="50">
        <v>40.1</v>
      </c>
      <c r="F56" s="50">
        <v>40.1</v>
      </c>
      <c r="G56" s="50">
        <v>40.1</v>
      </c>
      <c r="H56" s="50">
        <v>40.1</v>
      </c>
      <c r="I56" s="50">
        <v>40.1</v>
      </c>
      <c r="J56" s="63">
        <v>46.1</v>
      </c>
      <c r="K56" s="63">
        <v>46.4</v>
      </c>
      <c r="L56" s="63">
        <v>46.1</v>
      </c>
      <c r="M56" s="72">
        <v>46.1</v>
      </c>
      <c r="N56" s="72">
        <v>44.1</v>
      </c>
      <c r="O56" s="72">
        <v>44.1</v>
      </c>
      <c r="P56" s="72">
        <v>44.1</v>
      </c>
      <c r="Q56" s="72">
        <v>42.3</v>
      </c>
      <c r="R56" s="72">
        <v>42.3</v>
      </c>
      <c r="S56" s="72">
        <v>42.3</v>
      </c>
      <c r="T56" s="72">
        <v>39.799999999999997</v>
      </c>
      <c r="U56" s="72">
        <v>39.799999999999997</v>
      </c>
      <c r="V56" s="72">
        <v>39.799999999999997</v>
      </c>
      <c r="W56" s="72">
        <v>39.799999999999997</v>
      </c>
      <c r="X56" s="72">
        <v>39.799999999999997</v>
      </c>
      <c r="Y56" s="72">
        <v>42.1</v>
      </c>
      <c r="Z56" s="50">
        <v>42.1</v>
      </c>
      <c r="AA56" s="50">
        <v>42.1</v>
      </c>
      <c r="AB56" s="72">
        <v>40</v>
      </c>
      <c r="AC56" s="72">
        <v>40</v>
      </c>
      <c r="AD56" s="72">
        <v>40</v>
      </c>
      <c r="AE56" s="72">
        <v>40</v>
      </c>
      <c r="AF56" s="72">
        <v>40</v>
      </c>
      <c r="AG56" s="61">
        <v>60</v>
      </c>
      <c r="AH56" s="52">
        <f t="shared" si="2"/>
        <v>46.4</v>
      </c>
      <c r="AI56" s="53">
        <f t="shared" si="3"/>
        <v>39.799999999999997</v>
      </c>
      <c r="AK56" s="54"/>
    </row>
    <row r="57" spans="1:41" x14ac:dyDescent="0.25">
      <c r="A57" s="60" t="s">
        <v>65</v>
      </c>
      <c r="B57" s="50">
        <v>10</v>
      </c>
      <c r="C57" s="50">
        <v>10</v>
      </c>
      <c r="D57" s="50">
        <v>10</v>
      </c>
      <c r="E57" s="50">
        <v>10</v>
      </c>
      <c r="F57" s="50">
        <v>10</v>
      </c>
      <c r="G57" s="50">
        <v>0</v>
      </c>
      <c r="H57" s="50">
        <v>0</v>
      </c>
      <c r="I57" s="50">
        <v>0</v>
      </c>
      <c r="J57" s="63">
        <v>0</v>
      </c>
      <c r="K57" s="63">
        <v>0</v>
      </c>
      <c r="L57" s="63">
        <v>0</v>
      </c>
      <c r="M57" s="72">
        <v>0</v>
      </c>
      <c r="N57" s="72">
        <v>10.7</v>
      </c>
      <c r="O57" s="72">
        <v>14.8</v>
      </c>
      <c r="P57" s="72">
        <v>14.8</v>
      </c>
      <c r="Q57" s="72">
        <v>14.9</v>
      </c>
      <c r="R57" s="72">
        <v>19.8</v>
      </c>
      <c r="S57" s="72">
        <v>19.8</v>
      </c>
      <c r="T57" s="72">
        <v>15</v>
      </c>
      <c r="U57" s="72">
        <v>0</v>
      </c>
      <c r="V57" s="72">
        <v>13</v>
      </c>
      <c r="W57" s="72">
        <v>13</v>
      </c>
      <c r="X57" s="72">
        <v>15</v>
      </c>
      <c r="Y57" s="72">
        <v>15</v>
      </c>
      <c r="Z57" s="50">
        <v>12</v>
      </c>
      <c r="AA57" s="50">
        <v>12</v>
      </c>
      <c r="AB57" s="50">
        <v>12</v>
      </c>
      <c r="AC57" s="50">
        <v>12</v>
      </c>
      <c r="AD57" s="50">
        <v>12</v>
      </c>
      <c r="AE57" s="50">
        <v>10</v>
      </c>
      <c r="AF57" s="50">
        <v>10</v>
      </c>
      <c r="AG57" s="61">
        <v>30</v>
      </c>
      <c r="AH57" s="52">
        <f t="shared" si="2"/>
        <v>19.8</v>
      </c>
      <c r="AI57" s="53">
        <f t="shared" si="3"/>
        <v>0</v>
      </c>
      <c r="AK57" s="54"/>
    </row>
    <row r="58" spans="1:41" x14ac:dyDescent="0.25">
      <c r="A58" s="60" t="s">
        <v>66</v>
      </c>
      <c r="B58" s="50">
        <v>0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72">
        <v>5.3</v>
      </c>
      <c r="N58" s="72">
        <v>8.5</v>
      </c>
      <c r="O58" s="72">
        <v>12.2</v>
      </c>
      <c r="P58" s="72">
        <v>14.4</v>
      </c>
      <c r="Q58" s="72">
        <v>14.4</v>
      </c>
      <c r="R58" s="72">
        <v>12.6</v>
      </c>
      <c r="S58" s="72">
        <v>12.6</v>
      </c>
      <c r="T58" s="72">
        <v>12.6</v>
      </c>
      <c r="U58" s="72">
        <v>12.6</v>
      </c>
      <c r="V58" s="72">
        <v>12.6</v>
      </c>
      <c r="W58" s="72">
        <v>0</v>
      </c>
      <c r="X58" s="72">
        <v>0</v>
      </c>
      <c r="Y58" s="72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14.4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15</v>
      </c>
      <c r="C59" s="72">
        <v>15</v>
      </c>
      <c r="D59" s="72">
        <v>15</v>
      </c>
      <c r="E59" s="72">
        <v>15</v>
      </c>
      <c r="F59" s="72">
        <v>15</v>
      </c>
      <c r="G59" s="72">
        <v>15</v>
      </c>
      <c r="H59" s="72">
        <v>15</v>
      </c>
      <c r="I59" s="72">
        <v>15</v>
      </c>
      <c r="J59" s="72">
        <v>15</v>
      </c>
      <c r="K59" s="72">
        <v>15</v>
      </c>
      <c r="L59" s="72">
        <v>15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15</v>
      </c>
      <c r="S59" s="72">
        <v>15</v>
      </c>
      <c r="T59" s="72">
        <v>15</v>
      </c>
      <c r="U59" s="72">
        <v>15</v>
      </c>
      <c r="V59" s="72">
        <v>15</v>
      </c>
      <c r="W59" s="72">
        <v>15</v>
      </c>
      <c r="X59" s="72">
        <v>15</v>
      </c>
      <c r="Y59" s="72">
        <v>15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15</v>
      </c>
      <c r="AI59" s="53">
        <f t="shared" si="3"/>
        <v>15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11.9</v>
      </c>
      <c r="C61" s="72">
        <v>11.9</v>
      </c>
      <c r="D61" s="72">
        <v>11.9</v>
      </c>
      <c r="E61" s="72">
        <v>11.9</v>
      </c>
      <c r="F61" s="72">
        <v>11.9</v>
      </c>
      <c r="G61" s="72">
        <v>11.9</v>
      </c>
      <c r="H61" s="72">
        <v>11.9</v>
      </c>
      <c r="I61" s="72">
        <v>11.9</v>
      </c>
      <c r="J61" s="72">
        <v>9.5</v>
      </c>
      <c r="K61" s="72">
        <v>11.2</v>
      </c>
      <c r="L61" s="72">
        <v>11.2</v>
      </c>
      <c r="M61" s="72">
        <v>11.2</v>
      </c>
      <c r="N61" s="72">
        <v>11.2</v>
      </c>
      <c r="O61" s="72">
        <v>11.2</v>
      </c>
      <c r="P61" s="72">
        <v>11.2</v>
      </c>
      <c r="Q61" s="72">
        <v>13.6</v>
      </c>
      <c r="R61" s="72">
        <v>13.6</v>
      </c>
      <c r="S61" s="72">
        <v>13.6</v>
      </c>
      <c r="T61" s="72">
        <v>13.6</v>
      </c>
      <c r="U61" s="72">
        <v>13.6</v>
      </c>
      <c r="V61" s="72">
        <v>7</v>
      </c>
      <c r="W61" s="72">
        <v>7</v>
      </c>
      <c r="X61" s="72">
        <v>7</v>
      </c>
      <c r="Y61" s="72">
        <v>7</v>
      </c>
      <c r="Z61" s="72">
        <v>7</v>
      </c>
      <c r="AA61" s="72">
        <v>7</v>
      </c>
      <c r="AB61" s="72">
        <v>7</v>
      </c>
      <c r="AC61" s="72">
        <v>7</v>
      </c>
      <c r="AD61" s="72">
        <v>7</v>
      </c>
      <c r="AE61" s="72">
        <v>7</v>
      </c>
      <c r="AF61" s="72">
        <v>7</v>
      </c>
      <c r="AG61" s="61">
        <v>14.1</v>
      </c>
      <c r="AH61" s="52">
        <f t="shared" si="2"/>
        <v>13.6</v>
      </c>
      <c r="AI61" s="53">
        <f t="shared" si="3"/>
        <v>7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6.4</v>
      </c>
      <c r="C62" s="72">
        <v>6.4</v>
      </c>
      <c r="D62" s="72">
        <v>6.4</v>
      </c>
      <c r="E62" s="72">
        <v>6.4</v>
      </c>
      <c r="F62" s="72">
        <v>6.4</v>
      </c>
      <c r="G62" s="72">
        <v>6.4</v>
      </c>
      <c r="H62" s="72">
        <v>6.4</v>
      </c>
      <c r="I62" s="72">
        <v>6.4</v>
      </c>
      <c r="J62" s="72">
        <v>5</v>
      </c>
      <c r="K62" s="72">
        <v>5</v>
      </c>
      <c r="L62" s="72">
        <v>5</v>
      </c>
      <c r="M62" s="72">
        <v>5.0999999999999996</v>
      </c>
      <c r="N62" s="72">
        <v>5.0999999999999996</v>
      </c>
      <c r="O62" s="72">
        <v>5.0999999999999996</v>
      </c>
      <c r="P62" s="72">
        <v>5.0999999999999996</v>
      </c>
      <c r="Q62" s="72">
        <v>6.5</v>
      </c>
      <c r="R62" s="72">
        <v>6.5</v>
      </c>
      <c r="S62" s="72">
        <v>5.4</v>
      </c>
      <c r="T62" s="72">
        <v>5.4</v>
      </c>
      <c r="U62" s="72">
        <v>5.4</v>
      </c>
      <c r="V62" s="72">
        <v>5.4</v>
      </c>
      <c r="W62" s="72">
        <v>5.4</v>
      </c>
      <c r="X62" s="72">
        <v>5.4</v>
      </c>
      <c r="Y62" s="72">
        <v>5.4</v>
      </c>
      <c r="Z62" s="72">
        <v>5.4</v>
      </c>
      <c r="AA62" s="72">
        <v>5.4</v>
      </c>
      <c r="AB62" s="72">
        <v>5.4</v>
      </c>
      <c r="AC62" s="72">
        <v>5.4</v>
      </c>
      <c r="AD62" s="72">
        <v>5.4</v>
      </c>
      <c r="AE62" s="72">
        <v>5.4</v>
      </c>
      <c r="AF62" s="72">
        <v>5.4</v>
      </c>
      <c r="AG62" s="61">
        <v>14</v>
      </c>
      <c r="AH62" s="52">
        <f t="shared" si="2"/>
        <v>6.5</v>
      </c>
      <c r="AI62" s="53">
        <f t="shared" si="3"/>
        <v>5</v>
      </c>
      <c r="AK62" s="54"/>
    </row>
    <row r="63" spans="1:41" x14ac:dyDescent="0.25">
      <c r="A63" s="60" t="s">
        <v>71</v>
      </c>
      <c r="B63" s="72">
        <v>3.2</v>
      </c>
      <c r="C63" s="72">
        <v>3.2</v>
      </c>
      <c r="D63" s="72">
        <v>3.2</v>
      </c>
      <c r="E63" s="72">
        <v>3.2</v>
      </c>
      <c r="F63" s="72">
        <v>3.2</v>
      </c>
      <c r="G63" s="72">
        <v>3.2</v>
      </c>
      <c r="H63" s="72">
        <v>3.2</v>
      </c>
      <c r="I63" s="72">
        <v>3.2</v>
      </c>
      <c r="J63" s="72">
        <v>3.2</v>
      </c>
      <c r="K63" s="72">
        <v>3.2</v>
      </c>
      <c r="L63" s="72">
        <v>3.2</v>
      </c>
      <c r="M63" s="72">
        <v>3.2</v>
      </c>
      <c r="N63" s="72">
        <v>3.2</v>
      </c>
      <c r="O63" s="72">
        <v>3.2</v>
      </c>
      <c r="P63" s="72">
        <v>3.2</v>
      </c>
      <c r="Q63" s="72">
        <v>3.2</v>
      </c>
      <c r="R63" s="72">
        <v>3.2</v>
      </c>
      <c r="S63" s="72">
        <v>3.2</v>
      </c>
      <c r="T63" s="72">
        <v>3.2</v>
      </c>
      <c r="U63" s="72">
        <v>3.2</v>
      </c>
      <c r="V63" s="72">
        <v>3.2</v>
      </c>
      <c r="W63" s="72">
        <v>3.2</v>
      </c>
      <c r="X63" s="72">
        <v>3.2</v>
      </c>
      <c r="Y63" s="72">
        <v>3.2</v>
      </c>
      <c r="Z63" s="72">
        <v>3.2</v>
      </c>
      <c r="AA63" s="72">
        <v>3.2</v>
      </c>
      <c r="AB63" s="72">
        <v>3.2</v>
      </c>
      <c r="AC63" s="72">
        <v>3.2</v>
      </c>
      <c r="AD63" s="72">
        <v>3.2</v>
      </c>
      <c r="AE63" s="72">
        <v>3.2</v>
      </c>
      <c r="AF63" s="72">
        <v>3.2</v>
      </c>
      <c r="AG63" s="61">
        <v>10.050000000000001</v>
      </c>
      <c r="AH63" s="52">
        <f t="shared" si="2"/>
        <v>3.2</v>
      </c>
      <c r="AI63" s="53">
        <f t="shared" si="3"/>
        <v>3.2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" si="8">SUM(B53:B65)</f>
        <v>268.34000000000003</v>
      </c>
      <c r="C66" s="67">
        <f t="shared" ref="C66:AG66" si="9">SUM(C53:C65)</f>
        <v>268.34000000000003</v>
      </c>
      <c r="D66" s="67">
        <f t="shared" si="9"/>
        <v>268.34000000000003</v>
      </c>
      <c r="E66" s="67">
        <f t="shared" si="9"/>
        <v>268.34000000000003</v>
      </c>
      <c r="F66" s="67">
        <f t="shared" si="9"/>
        <v>268.34000000000003</v>
      </c>
      <c r="G66" s="67">
        <f t="shared" si="9"/>
        <v>224.33999999999997</v>
      </c>
      <c r="H66" s="67">
        <f t="shared" si="9"/>
        <v>200.54</v>
      </c>
      <c r="I66" s="67">
        <f t="shared" si="9"/>
        <v>215.64</v>
      </c>
      <c r="J66" s="67">
        <f t="shared" si="9"/>
        <v>187.93999999999997</v>
      </c>
      <c r="K66" s="67">
        <f t="shared" si="9"/>
        <v>203.56999999999996</v>
      </c>
      <c r="L66" s="67">
        <f t="shared" si="9"/>
        <v>164.93999999999997</v>
      </c>
      <c r="M66" s="67">
        <f t="shared" si="9"/>
        <v>170.43999999999997</v>
      </c>
      <c r="N66" s="67">
        <f t="shared" si="9"/>
        <v>158.93999999999997</v>
      </c>
      <c r="O66" s="67">
        <f t="shared" si="9"/>
        <v>152.13999999999996</v>
      </c>
      <c r="P66" s="67">
        <f t="shared" si="9"/>
        <v>194.64</v>
      </c>
      <c r="Q66" s="67">
        <f t="shared" si="9"/>
        <v>241.23999999999998</v>
      </c>
      <c r="R66" s="67">
        <f t="shared" si="9"/>
        <v>348.44000000000005</v>
      </c>
      <c r="S66" s="67">
        <f t="shared" si="9"/>
        <v>347.34000000000003</v>
      </c>
      <c r="T66" s="67">
        <f t="shared" si="9"/>
        <v>331.64000000000004</v>
      </c>
      <c r="U66" s="67">
        <f t="shared" si="9"/>
        <v>283.14</v>
      </c>
      <c r="V66" s="67">
        <f t="shared" si="9"/>
        <v>277.53999999999996</v>
      </c>
      <c r="W66" s="67">
        <f t="shared" si="9"/>
        <v>264.94</v>
      </c>
      <c r="X66" s="67">
        <f t="shared" si="9"/>
        <v>245.44</v>
      </c>
      <c r="Y66" s="67">
        <f t="shared" si="9"/>
        <v>247.93999999999997</v>
      </c>
      <c r="Z66" s="67">
        <f t="shared" si="9"/>
        <v>310.24</v>
      </c>
      <c r="AA66" s="67">
        <f t="shared" si="9"/>
        <v>310.24</v>
      </c>
      <c r="AB66" s="67">
        <f t="shared" si="9"/>
        <v>273.53999999999996</v>
      </c>
      <c r="AC66" s="67">
        <f t="shared" si="9"/>
        <v>273.53999999999996</v>
      </c>
      <c r="AD66" s="67">
        <f t="shared" si="9"/>
        <v>273.53999999999996</v>
      </c>
      <c r="AE66" s="67">
        <f t="shared" si="9"/>
        <v>239.54</v>
      </c>
      <c r="AF66" s="67">
        <f t="shared" si="9"/>
        <v>233.14</v>
      </c>
      <c r="AG66" s="68">
        <f t="shared" si="9"/>
        <v>489.91</v>
      </c>
      <c r="AH66" s="52">
        <f t="shared" si="2"/>
        <v>348.44000000000005</v>
      </c>
      <c r="AI66" s="53">
        <f t="shared" si="3"/>
        <v>152.13999999999996</v>
      </c>
      <c r="AK66" s="54"/>
    </row>
    <row r="67" spans="1:40" x14ac:dyDescent="0.25">
      <c r="A67" s="49" t="s">
        <v>75</v>
      </c>
      <c r="B67" s="50">
        <v>60</v>
      </c>
      <c r="C67" s="50">
        <v>60</v>
      </c>
      <c r="D67" s="50">
        <v>60</v>
      </c>
      <c r="E67" s="50">
        <v>60</v>
      </c>
      <c r="F67" s="50">
        <v>60</v>
      </c>
      <c r="G67" s="50">
        <v>60</v>
      </c>
      <c r="H67" s="50">
        <v>60</v>
      </c>
      <c r="I67" s="50">
        <v>60</v>
      </c>
      <c r="J67" s="50">
        <v>60</v>
      </c>
      <c r="K67" s="50">
        <v>60</v>
      </c>
      <c r="L67" s="50">
        <v>60</v>
      </c>
      <c r="M67" s="50">
        <v>60</v>
      </c>
      <c r="N67" s="50">
        <v>60</v>
      </c>
      <c r="O67" s="50">
        <v>60</v>
      </c>
      <c r="P67" s="50">
        <v>60</v>
      </c>
      <c r="Q67" s="50">
        <v>60</v>
      </c>
      <c r="R67" s="50">
        <v>60</v>
      </c>
      <c r="S67" s="50">
        <v>60</v>
      </c>
      <c r="T67" s="50">
        <v>60</v>
      </c>
      <c r="U67" s="50">
        <v>60</v>
      </c>
      <c r="V67" s="50">
        <v>60</v>
      </c>
      <c r="W67" s="50">
        <v>60</v>
      </c>
      <c r="X67" s="50">
        <v>60</v>
      </c>
      <c r="Y67" s="50">
        <v>60</v>
      </c>
      <c r="Z67" s="50">
        <v>60</v>
      </c>
      <c r="AA67" s="50">
        <v>60</v>
      </c>
      <c r="AB67" s="50">
        <v>60</v>
      </c>
      <c r="AC67" s="50">
        <v>60</v>
      </c>
      <c r="AD67" s="50">
        <v>60</v>
      </c>
      <c r="AE67" s="50">
        <v>60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60</v>
      </c>
      <c r="AK67" s="54"/>
    </row>
    <row r="68" spans="1:40" x14ac:dyDescent="0.25">
      <c r="A68" s="60" t="s">
        <v>76</v>
      </c>
      <c r="B68" s="50">
        <v>28.2</v>
      </c>
      <c r="C68" s="50">
        <v>28.2</v>
      </c>
      <c r="D68" s="50">
        <v>28.2</v>
      </c>
      <c r="E68" s="50">
        <v>28.2</v>
      </c>
      <c r="F68" s="50">
        <v>28.2</v>
      </c>
      <c r="G68" s="50">
        <v>28.2</v>
      </c>
      <c r="H68" s="50">
        <v>28.2</v>
      </c>
      <c r="I68" s="50">
        <v>28.2</v>
      </c>
      <c r="J68" s="50">
        <v>28.2</v>
      </c>
      <c r="K68" s="50">
        <v>28.2</v>
      </c>
      <c r="L68" s="50">
        <v>28.2</v>
      </c>
      <c r="M68" s="72">
        <v>28.2</v>
      </c>
      <c r="N68" s="72">
        <v>28.2</v>
      </c>
      <c r="O68" s="72">
        <v>28.4</v>
      </c>
      <c r="P68" s="72">
        <v>28.4</v>
      </c>
      <c r="Q68" s="50">
        <v>28.8</v>
      </c>
      <c r="R68" s="50">
        <v>28.7</v>
      </c>
      <c r="S68" s="50">
        <v>28.7</v>
      </c>
      <c r="T68" s="50">
        <v>30.5</v>
      </c>
      <c r="U68" s="50">
        <v>28.1</v>
      </c>
      <c r="V68" s="50">
        <v>28.1</v>
      </c>
      <c r="W68" s="50">
        <v>28.1</v>
      </c>
      <c r="X68" s="50">
        <v>28.1</v>
      </c>
      <c r="Y68" s="50">
        <v>28.1</v>
      </c>
      <c r="Z68" s="50">
        <v>28.1</v>
      </c>
      <c r="AA68" s="50">
        <v>28.1</v>
      </c>
      <c r="AB68" s="72">
        <v>28.3</v>
      </c>
      <c r="AC68" s="72">
        <v>28.3</v>
      </c>
      <c r="AD68" s="72">
        <v>28.3</v>
      </c>
      <c r="AE68" s="72">
        <v>28.3</v>
      </c>
      <c r="AF68" s="72">
        <v>28.3</v>
      </c>
      <c r="AG68" s="61">
        <v>32</v>
      </c>
      <c r="AH68" s="52">
        <f t="shared" si="2"/>
        <v>30.5</v>
      </c>
      <c r="AI68" s="53">
        <f t="shared" si="3"/>
        <v>28.1</v>
      </c>
      <c r="AK68" s="54"/>
    </row>
    <row r="69" spans="1:40" ht="15.75" thickBot="1" x14ac:dyDescent="0.3">
      <c r="A69" s="78" t="s">
        <v>77</v>
      </c>
      <c r="B69" s="50">
        <v>10.3</v>
      </c>
      <c r="C69" s="50">
        <v>10.3</v>
      </c>
      <c r="D69" s="50">
        <v>10.3</v>
      </c>
      <c r="E69" s="50">
        <v>10.3</v>
      </c>
      <c r="F69" s="50">
        <v>10.3</v>
      </c>
      <c r="G69" s="50">
        <v>10.3</v>
      </c>
      <c r="H69" s="50">
        <v>10.3</v>
      </c>
      <c r="I69" s="50">
        <v>10.3</v>
      </c>
      <c r="J69" s="50">
        <v>10.3</v>
      </c>
      <c r="K69" s="50">
        <v>10.3</v>
      </c>
      <c r="L69" s="50">
        <v>10.3</v>
      </c>
      <c r="M69" s="74">
        <v>10.3</v>
      </c>
      <c r="N69" s="74">
        <v>10.3</v>
      </c>
      <c r="O69" s="74">
        <v>10.4</v>
      </c>
      <c r="P69" s="74">
        <v>10.4</v>
      </c>
      <c r="Q69" s="50">
        <v>10.5</v>
      </c>
      <c r="R69" s="50">
        <v>10.5</v>
      </c>
      <c r="S69" s="50">
        <v>10.5</v>
      </c>
      <c r="T69" s="50">
        <v>11.1</v>
      </c>
      <c r="U69" s="50">
        <v>10.3</v>
      </c>
      <c r="V69" s="50">
        <v>10.3</v>
      </c>
      <c r="W69" s="50">
        <v>10.3</v>
      </c>
      <c r="X69" s="50">
        <v>10.3</v>
      </c>
      <c r="Y69" s="50">
        <v>10.3</v>
      </c>
      <c r="Z69" s="50">
        <v>10.3</v>
      </c>
      <c r="AA69" s="50">
        <v>10.3</v>
      </c>
      <c r="AB69" s="74">
        <v>10.3</v>
      </c>
      <c r="AC69" s="74">
        <v>10.3</v>
      </c>
      <c r="AD69" s="74">
        <v>10.3</v>
      </c>
      <c r="AE69" s="74">
        <v>10.3</v>
      </c>
      <c r="AF69" s="74">
        <v>10.3</v>
      </c>
      <c r="AG69" s="75">
        <v>14</v>
      </c>
      <c r="AH69" s="52">
        <f t="shared" si="2"/>
        <v>11.1</v>
      </c>
      <c r="AI69" s="53">
        <f t="shared" si="3"/>
        <v>10.3</v>
      </c>
      <c r="AK69" s="54"/>
    </row>
    <row r="70" spans="1:40" ht="15.75" thickBot="1" x14ac:dyDescent="0.3">
      <c r="A70" s="81" t="s">
        <v>78</v>
      </c>
      <c r="B70" s="67">
        <f t="shared" ref="B70" si="10">B67+B68+B69</f>
        <v>98.5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98.5</v>
      </c>
      <c r="M70" s="67">
        <f t="shared" ref="M70:AF70" si="11">M67+M68+M69</f>
        <v>98.5</v>
      </c>
      <c r="N70" s="67">
        <f t="shared" si="11"/>
        <v>98.5</v>
      </c>
      <c r="O70" s="67">
        <f t="shared" si="11"/>
        <v>98.800000000000011</v>
      </c>
      <c r="P70" s="67">
        <f t="shared" si="11"/>
        <v>98.800000000000011</v>
      </c>
      <c r="Q70" s="67">
        <f t="shared" si="11"/>
        <v>99.3</v>
      </c>
      <c r="R70" s="67">
        <f t="shared" si="11"/>
        <v>99.2</v>
      </c>
      <c r="S70" s="67">
        <f t="shared" si="11"/>
        <v>99.2</v>
      </c>
      <c r="T70" s="67">
        <f t="shared" si="11"/>
        <v>101.6</v>
      </c>
      <c r="U70" s="67">
        <f t="shared" si="11"/>
        <v>98.399999999999991</v>
      </c>
      <c r="V70" s="67">
        <f t="shared" si="11"/>
        <v>98.399999999999991</v>
      </c>
      <c r="W70" s="67">
        <f t="shared" si="11"/>
        <v>98.399999999999991</v>
      </c>
      <c r="X70" s="67">
        <f t="shared" si="11"/>
        <v>98.399999999999991</v>
      </c>
      <c r="Y70" s="67">
        <f t="shared" si="11"/>
        <v>98.399999999999991</v>
      </c>
      <c r="Z70" s="67">
        <f t="shared" si="11"/>
        <v>98.399999999999991</v>
      </c>
      <c r="AA70" s="67">
        <f t="shared" si="11"/>
        <v>98.399999999999991</v>
      </c>
      <c r="AB70" s="67">
        <f t="shared" si="11"/>
        <v>98.6</v>
      </c>
      <c r="AC70" s="67">
        <f t="shared" si="11"/>
        <v>98.6</v>
      </c>
      <c r="AD70" s="67">
        <f t="shared" si="11"/>
        <v>98.6</v>
      </c>
      <c r="AE70" s="67">
        <f t="shared" si="11"/>
        <v>98.6</v>
      </c>
      <c r="AF70" s="67">
        <f t="shared" si="11"/>
        <v>98.6</v>
      </c>
      <c r="AG70" s="68">
        <f>SUM(AG67:AG69)</f>
        <v>106</v>
      </c>
      <c r="AH70" s="52">
        <f t="shared" si="2"/>
        <v>101.6</v>
      </c>
      <c r="AI70" s="53">
        <f t="shared" si="3"/>
        <v>0</v>
      </c>
      <c r="AK70" s="54"/>
    </row>
    <row r="71" spans="1:40" x14ac:dyDescent="0.25">
      <c r="A71" s="49" t="s">
        <v>79</v>
      </c>
      <c r="B71" s="50">
        <v>71</v>
      </c>
      <c r="C71" s="50">
        <v>71</v>
      </c>
      <c r="D71" s="50">
        <v>71</v>
      </c>
      <c r="E71" s="50">
        <v>71</v>
      </c>
      <c r="F71" s="50">
        <v>75</v>
      </c>
      <c r="G71" s="50">
        <v>74</v>
      </c>
      <c r="H71" s="50">
        <v>75</v>
      </c>
      <c r="I71" s="50">
        <v>75</v>
      </c>
      <c r="J71" s="50">
        <v>60</v>
      </c>
      <c r="K71" s="50">
        <v>60</v>
      </c>
      <c r="L71" s="50">
        <v>45</v>
      </c>
      <c r="M71" s="50">
        <v>47</v>
      </c>
      <c r="N71" s="50">
        <v>65.900000000000006</v>
      </c>
      <c r="O71" s="50">
        <v>78</v>
      </c>
      <c r="P71" s="50">
        <v>75</v>
      </c>
      <c r="Q71" s="50">
        <v>71.3</v>
      </c>
      <c r="R71" s="50">
        <v>62.7</v>
      </c>
      <c r="S71" s="50">
        <v>56.6</v>
      </c>
      <c r="T71" s="50">
        <v>72</v>
      </c>
      <c r="U71" s="50">
        <v>67</v>
      </c>
      <c r="V71" s="50">
        <v>76</v>
      </c>
      <c r="W71" s="50">
        <v>76</v>
      </c>
      <c r="X71" s="50">
        <v>60</v>
      </c>
      <c r="Y71" s="50">
        <v>62</v>
      </c>
      <c r="Z71" s="50">
        <v>71</v>
      </c>
      <c r="AA71" s="50">
        <v>74</v>
      </c>
      <c r="AB71" s="50">
        <v>74</v>
      </c>
      <c r="AC71" s="50">
        <v>76</v>
      </c>
      <c r="AD71" s="50">
        <v>76</v>
      </c>
      <c r="AE71" s="50">
        <v>72</v>
      </c>
      <c r="AF71" s="50">
        <v>70</v>
      </c>
      <c r="AG71" s="56"/>
      <c r="AH71" s="52">
        <f t="shared" si="2"/>
        <v>78</v>
      </c>
      <c r="AI71" s="53">
        <f t="shared" si="3"/>
        <v>45</v>
      </c>
      <c r="AK71" s="54"/>
    </row>
    <row r="72" spans="1:40" x14ac:dyDescent="0.25">
      <c r="A72" s="60" t="s">
        <v>80</v>
      </c>
      <c r="B72" s="72">
        <v>48.8</v>
      </c>
      <c r="C72" s="72">
        <v>48.8</v>
      </c>
      <c r="D72" s="72">
        <v>46.8</v>
      </c>
      <c r="E72" s="72">
        <v>38.6</v>
      </c>
      <c r="F72" s="72">
        <v>45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71.2</v>
      </c>
      <c r="O72" s="72">
        <v>79.099999999999994</v>
      </c>
      <c r="P72" s="72">
        <v>87.5</v>
      </c>
      <c r="Q72" s="72">
        <v>81.8</v>
      </c>
      <c r="R72" s="72">
        <v>84.9</v>
      </c>
      <c r="S72" s="72">
        <v>90.2</v>
      </c>
      <c r="T72" s="72">
        <v>91.2</v>
      </c>
      <c r="U72" s="72">
        <v>91.2</v>
      </c>
      <c r="V72" s="72">
        <v>89</v>
      </c>
      <c r="W72" s="72">
        <v>89</v>
      </c>
      <c r="X72" s="72">
        <v>76</v>
      </c>
      <c r="Y72" s="72">
        <v>66.5</v>
      </c>
      <c r="Z72" s="72">
        <v>57.8</v>
      </c>
      <c r="AA72" s="72">
        <v>71.400000000000006</v>
      </c>
      <c r="AB72" s="72">
        <v>70</v>
      </c>
      <c r="AC72" s="72">
        <v>70</v>
      </c>
      <c r="AD72" s="72">
        <v>70</v>
      </c>
      <c r="AE72" s="72">
        <v>0</v>
      </c>
      <c r="AF72" s="72">
        <v>0</v>
      </c>
      <c r="AG72" s="61"/>
      <c r="AH72" s="52">
        <f t="shared" si="2"/>
        <v>91.2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273</v>
      </c>
      <c r="C73" s="72">
        <v>260.5</v>
      </c>
      <c r="D73" s="72">
        <v>271</v>
      </c>
      <c r="E73" s="72">
        <v>305.10000000000002</v>
      </c>
      <c r="F73" s="72">
        <v>305.10000000000002</v>
      </c>
      <c r="G73" s="72">
        <v>316</v>
      </c>
      <c r="H73" s="72">
        <v>322</v>
      </c>
      <c r="I73" s="72">
        <v>375</v>
      </c>
      <c r="J73" s="72">
        <v>320</v>
      </c>
      <c r="K73" s="72">
        <v>286</v>
      </c>
      <c r="L73" s="72">
        <v>365</v>
      </c>
      <c r="M73" s="72">
        <v>370.3</v>
      </c>
      <c r="N73" s="72">
        <v>384.9</v>
      </c>
      <c r="O73" s="72">
        <v>424.7</v>
      </c>
      <c r="P73" s="72">
        <v>435.9</v>
      </c>
      <c r="Q73" s="72">
        <v>407.9</v>
      </c>
      <c r="R73" s="72">
        <v>425.2</v>
      </c>
      <c r="S73" s="72">
        <v>435.3</v>
      </c>
      <c r="T73" s="72">
        <v>393</v>
      </c>
      <c r="U73" s="72">
        <v>379</v>
      </c>
      <c r="V73" s="72">
        <v>354</v>
      </c>
      <c r="W73" s="72">
        <v>367</v>
      </c>
      <c r="X73" s="72">
        <v>337</v>
      </c>
      <c r="Y73" s="72">
        <v>306</v>
      </c>
      <c r="Z73" s="72">
        <v>388</v>
      </c>
      <c r="AA73" s="72">
        <v>353.2</v>
      </c>
      <c r="AB73" s="72">
        <v>328</v>
      </c>
      <c r="AC73" s="72">
        <v>308</v>
      </c>
      <c r="AD73" s="72">
        <v>308</v>
      </c>
      <c r="AE73" s="72">
        <v>310</v>
      </c>
      <c r="AF73" s="72"/>
      <c r="AG73" s="82"/>
      <c r="AH73" s="52">
        <f t="shared" si="2"/>
        <v>435.9</v>
      </c>
      <c r="AI73" s="53">
        <f t="shared" si="3"/>
        <v>260.5</v>
      </c>
      <c r="AK73" s="54"/>
    </row>
    <row r="74" spans="1:40" x14ac:dyDescent="0.25">
      <c r="A74" s="60" t="s">
        <v>82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83">
        <v>0</v>
      </c>
      <c r="J74" s="83">
        <v>0</v>
      </c>
      <c r="K74" s="83">
        <v>0</v>
      </c>
      <c r="L74" s="83">
        <v>0</v>
      </c>
      <c r="M74" s="83">
        <v>51.6</v>
      </c>
      <c r="N74" s="83">
        <v>47.3</v>
      </c>
      <c r="O74" s="83">
        <v>69.400000000000006</v>
      </c>
      <c r="P74" s="83">
        <v>0</v>
      </c>
      <c r="Q74" s="83">
        <v>63.2</v>
      </c>
      <c r="R74" s="83">
        <v>60.7</v>
      </c>
      <c r="S74" s="83">
        <v>61.7</v>
      </c>
      <c r="T74" s="83">
        <v>0</v>
      </c>
      <c r="U74" s="83">
        <v>58</v>
      </c>
      <c r="V74" s="83">
        <v>63</v>
      </c>
      <c r="W74" s="83">
        <v>63</v>
      </c>
      <c r="X74" s="83">
        <v>63</v>
      </c>
      <c r="Y74" s="83">
        <v>63</v>
      </c>
      <c r="Z74" s="72">
        <v>51.3</v>
      </c>
      <c r="AA74" s="72">
        <v>51.3</v>
      </c>
      <c r="AB74" s="72">
        <v>55</v>
      </c>
      <c r="AC74" s="72">
        <v>55</v>
      </c>
      <c r="AD74" s="72">
        <v>55</v>
      </c>
      <c r="AE74" s="72">
        <v>55</v>
      </c>
      <c r="AF74" s="72">
        <v>0</v>
      </c>
      <c r="AG74" s="82"/>
      <c r="AH74" s="52">
        <f t="shared" si="2"/>
        <v>69.400000000000006</v>
      </c>
      <c r="AI74" s="53">
        <f t="shared" si="3"/>
        <v>0</v>
      </c>
      <c r="AK74" s="54"/>
    </row>
    <row r="75" spans="1:40" x14ac:dyDescent="0.25">
      <c r="A75" s="60" t="s">
        <v>83</v>
      </c>
      <c r="B75" s="50">
        <v>0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29</v>
      </c>
      <c r="N75" s="50">
        <v>32.799999999999997</v>
      </c>
      <c r="O75" s="50">
        <v>35</v>
      </c>
      <c r="P75" s="50">
        <v>33.9</v>
      </c>
      <c r="Q75" s="50">
        <v>35.4</v>
      </c>
      <c r="R75" s="50">
        <v>33.1</v>
      </c>
      <c r="S75" s="50">
        <v>32.799999999999997</v>
      </c>
      <c r="T75" s="50">
        <v>32.799999999999997</v>
      </c>
      <c r="U75" s="50">
        <v>31.4</v>
      </c>
      <c r="V75" s="50">
        <v>29</v>
      </c>
      <c r="W75" s="50">
        <v>29</v>
      </c>
      <c r="X75" s="50">
        <v>29</v>
      </c>
      <c r="Y75" s="50">
        <v>26</v>
      </c>
      <c r="Z75" s="50">
        <v>23.4</v>
      </c>
      <c r="AA75" s="50">
        <v>23.4</v>
      </c>
      <c r="AB75" s="50">
        <v>0</v>
      </c>
      <c r="AC75" s="50">
        <v>0</v>
      </c>
      <c r="AD75" s="50">
        <v>0</v>
      </c>
      <c r="AE75" s="50">
        <v>10</v>
      </c>
      <c r="AF75" s="50">
        <v>10</v>
      </c>
      <c r="AG75" s="82"/>
      <c r="AH75" s="52">
        <f t="shared" ref="AH75:AH117" si="12">MAX(B75:AF75)</f>
        <v>35.4</v>
      </c>
      <c r="AI75" s="53">
        <f t="shared" ref="AI75:AI117" si="13">MIN(B75:AF75)</f>
        <v>0</v>
      </c>
      <c r="AK75" s="54"/>
    </row>
    <row r="76" spans="1:40" x14ac:dyDescent="0.25">
      <c r="A76" s="60" t="s">
        <v>84</v>
      </c>
      <c r="B76" s="84">
        <v>5</v>
      </c>
      <c r="C76" s="84">
        <v>5</v>
      </c>
      <c r="D76" s="84">
        <v>5</v>
      </c>
      <c r="E76" s="84">
        <v>5</v>
      </c>
      <c r="F76" s="84">
        <v>5</v>
      </c>
      <c r="G76" s="84">
        <v>5</v>
      </c>
      <c r="H76" s="84">
        <v>5</v>
      </c>
      <c r="I76" s="84">
        <v>5</v>
      </c>
      <c r="J76" s="84">
        <v>5</v>
      </c>
      <c r="K76" s="84">
        <v>5</v>
      </c>
      <c r="L76" s="84">
        <v>5</v>
      </c>
      <c r="M76" s="84">
        <v>5</v>
      </c>
      <c r="N76" s="84">
        <v>5</v>
      </c>
      <c r="O76" s="84">
        <v>5</v>
      </c>
      <c r="P76" s="84">
        <v>5</v>
      </c>
      <c r="Q76" s="84">
        <v>0</v>
      </c>
      <c r="R76" s="84">
        <v>5</v>
      </c>
      <c r="S76" s="84">
        <v>5</v>
      </c>
      <c r="T76" s="84">
        <v>5</v>
      </c>
      <c r="U76" s="84">
        <v>5</v>
      </c>
      <c r="V76" s="84">
        <v>5</v>
      </c>
      <c r="W76" s="84">
        <v>5</v>
      </c>
      <c r="X76" s="84">
        <v>5</v>
      </c>
      <c r="Y76" s="84">
        <v>5</v>
      </c>
      <c r="Z76" s="84">
        <v>5</v>
      </c>
      <c r="AA76" s="84">
        <v>5</v>
      </c>
      <c r="AB76" s="84">
        <v>5</v>
      </c>
      <c r="AC76" s="84">
        <v>5</v>
      </c>
      <c r="AD76" s="84">
        <v>5</v>
      </c>
      <c r="AE76" s="84">
        <v>5</v>
      </c>
      <c r="AF76" s="84">
        <v>5</v>
      </c>
      <c r="AG76" s="82"/>
      <c r="AH76" s="52">
        <f t="shared" si="12"/>
        <v>5</v>
      </c>
      <c r="AI76" s="53">
        <f t="shared" si="13"/>
        <v>0</v>
      </c>
      <c r="AK76" s="54"/>
    </row>
    <row r="77" spans="1:40" ht="15.75" thickBot="1" x14ac:dyDescent="0.3">
      <c r="A77" s="60" t="s">
        <v>85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2"/>
        <v>0</v>
      </c>
      <c r="AI77" s="53">
        <f t="shared" si="13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2"/>
        <v>0</v>
      </c>
      <c r="AI78" s="53">
        <f t="shared" si="13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2"/>
        <v>0</v>
      </c>
      <c r="AI79" s="53">
        <f t="shared" si="13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2"/>
        <v>0</v>
      </c>
      <c r="AI80" s="53">
        <f t="shared" si="13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2"/>
        <v>0</v>
      </c>
      <c r="AI81" s="53">
        <f t="shared" si="13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" si="14">SUMIF(B71:B81,"&gt;0")</f>
        <v>397.8</v>
      </c>
      <c r="C82" s="67">
        <f t="shared" ref="C82:AF82" si="15">SUMIF(C71:C81,"&gt;0")</f>
        <v>385.3</v>
      </c>
      <c r="D82" s="67">
        <f t="shared" si="15"/>
        <v>393.8</v>
      </c>
      <c r="E82" s="67">
        <f t="shared" si="15"/>
        <v>419.70000000000005</v>
      </c>
      <c r="F82" s="67">
        <f t="shared" si="15"/>
        <v>430.1</v>
      </c>
      <c r="G82" s="67">
        <f t="shared" si="15"/>
        <v>395</v>
      </c>
      <c r="H82" s="67">
        <f t="shared" si="15"/>
        <v>402</v>
      </c>
      <c r="I82" s="67">
        <f t="shared" si="15"/>
        <v>455</v>
      </c>
      <c r="J82" s="67">
        <f t="shared" si="15"/>
        <v>385</v>
      </c>
      <c r="K82" s="67">
        <f t="shared" si="15"/>
        <v>351</v>
      </c>
      <c r="L82" s="67">
        <f t="shared" si="15"/>
        <v>415</v>
      </c>
      <c r="M82" s="67">
        <f t="shared" si="15"/>
        <v>502.90000000000003</v>
      </c>
      <c r="N82" s="67">
        <f t="shared" si="15"/>
        <v>607.09999999999991</v>
      </c>
      <c r="O82" s="67">
        <f t="shared" si="15"/>
        <v>691.19999999999993</v>
      </c>
      <c r="P82" s="67">
        <f t="shared" si="15"/>
        <v>637.29999999999995</v>
      </c>
      <c r="Q82" s="67">
        <f t="shared" si="15"/>
        <v>659.6</v>
      </c>
      <c r="R82" s="67">
        <f t="shared" si="15"/>
        <v>671.6</v>
      </c>
      <c r="S82" s="67">
        <f t="shared" si="15"/>
        <v>681.6</v>
      </c>
      <c r="T82" s="67">
        <f t="shared" si="15"/>
        <v>594</v>
      </c>
      <c r="U82" s="67">
        <f t="shared" si="15"/>
        <v>631.6</v>
      </c>
      <c r="V82" s="67">
        <f t="shared" si="15"/>
        <v>616</v>
      </c>
      <c r="W82" s="67">
        <f t="shared" si="15"/>
        <v>629</v>
      </c>
      <c r="X82" s="67">
        <f t="shared" si="15"/>
        <v>570</v>
      </c>
      <c r="Y82" s="67">
        <f t="shared" si="15"/>
        <v>528.5</v>
      </c>
      <c r="Z82" s="67">
        <f t="shared" si="15"/>
        <v>596.49999999999989</v>
      </c>
      <c r="AA82" s="67">
        <f t="shared" si="15"/>
        <v>578.29999999999995</v>
      </c>
      <c r="AB82" s="67">
        <f t="shared" si="15"/>
        <v>532</v>
      </c>
      <c r="AC82" s="67">
        <f t="shared" si="15"/>
        <v>514</v>
      </c>
      <c r="AD82" s="67">
        <f t="shared" si="15"/>
        <v>514</v>
      </c>
      <c r="AE82" s="67">
        <f t="shared" si="15"/>
        <v>452</v>
      </c>
      <c r="AF82" s="67">
        <f t="shared" si="15"/>
        <v>85</v>
      </c>
      <c r="AG82" s="95">
        <f>SUM(AG71:AG81)</f>
        <v>0</v>
      </c>
      <c r="AH82" s="52">
        <f t="shared" si="12"/>
        <v>691.19999999999993</v>
      </c>
      <c r="AI82" s="53">
        <f t="shared" si="13"/>
        <v>85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2"/>
        <v>0</v>
      </c>
      <c r="AI83" s="53">
        <f t="shared" si="13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2"/>
        <v>0</v>
      </c>
      <c r="AI84" s="53">
        <f t="shared" si="13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2"/>
        <v>0</v>
      </c>
      <c r="AI85" s="53">
        <f t="shared" si="13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2"/>
        <v>0</v>
      </c>
      <c r="AI86" s="53">
        <f t="shared" si="13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" si="16">B48+B52+B70+B66+B82+B86</f>
        <v>1341.64</v>
      </c>
      <c r="C87" s="102">
        <f t="shared" ref="C87:AG87" si="17">C48+C52+C70+C66+C82+C86</f>
        <v>1210.6400000000001</v>
      </c>
      <c r="D87" s="102">
        <f t="shared" si="17"/>
        <v>1189.1400000000001</v>
      </c>
      <c r="E87" s="102">
        <f t="shared" si="17"/>
        <v>1215.04</v>
      </c>
      <c r="F87" s="102">
        <f t="shared" si="17"/>
        <v>1175.44</v>
      </c>
      <c r="G87" s="102">
        <f t="shared" si="17"/>
        <v>1116.3399999999999</v>
      </c>
      <c r="H87" s="102">
        <f t="shared" si="17"/>
        <v>1119.54</v>
      </c>
      <c r="I87" s="102">
        <f t="shared" si="17"/>
        <v>1145.74</v>
      </c>
      <c r="J87" s="102">
        <f t="shared" si="17"/>
        <v>1123.94</v>
      </c>
      <c r="K87" s="102">
        <f t="shared" si="17"/>
        <v>1181.57</v>
      </c>
      <c r="L87" s="102">
        <f t="shared" si="17"/>
        <v>1277.54</v>
      </c>
      <c r="M87" s="102">
        <f t="shared" si="17"/>
        <v>1309.74</v>
      </c>
      <c r="N87" s="102">
        <f t="shared" si="17"/>
        <v>1292.1399999999999</v>
      </c>
      <c r="O87" s="102">
        <f t="shared" si="17"/>
        <v>1369.7399999999998</v>
      </c>
      <c r="P87" s="102">
        <f t="shared" si="17"/>
        <v>1358.34</v>
      </c>
      <c r="Q87" s="102">
        <f t="shared" si="17"/>
        <v>1419.3400000000001</v>
      </c>
      <c r="R87" s="102">
        <f t="shared" si="17"/>
        <v>1568.44</v>
      </c>
      <c r="S87" s="102">
        <f t="shared" si="17"/>
        <v>1577.3400000000001</v>
      </c>
      <c r="T87" s="102">
        <f t="shared" si="17"/>
        <v>1476.44</v>
      </c>
      <c r="U87" s="102">
        <f t="shared" si="17"/>
        <v>1442.3400000000001</v>
      </c>
      <c r="V87" s="102">
        <f t="shared" si="17"/>
        <v>1481.1399999999999</v>
      </c>
      <c r="W87" s="102">
        <f t="shared" si="17"/>
        <v>1481.54</v>
      </c>
      <c r="X87" s="102">
        <f t="shared" si="17"/>
        <v>1413.04</v>
      </c>
      <c r="Y87" s="102">
        <f t="shared" si="17"/>
        <v>1374.04</v>
      </c>
      <c r="Z87" s="102">
        <f t="shared" si="17"/>
        <v>1528.34</v>
      </c>
      <c r="AA87" s="102">
        <f t="shared" si="17"/>
        <v>1520.1399999999999</v>
      </c>
      <c r="AB87" s="102">
        <f t="shared" si="17"/>
        <v>1433.3400000000001</v>
      </c>
      <c r="AC87" s="102">
        <f t="shared" si="17"/>
        <v>1445.3400000000001</v>
      </c>
      <c r="AD87" s="102">
        <f t="shared" si="17"/>
        <v>1445.3400000000001</v>
      </c>
      <c r="AE87" s="102">
        <f t="shared" si="17"/>
        <v>1329.3400000000001</v>
      </c>
      <c r="AF87" s="102">
        <f t="shared" si="17"/>
        <v>1038.94</v>
      </c>
      <c r="AG87" s="68">
        <f t="shared" si="17"/>
        <v>2065.09</v>
      </c>
      <c r="AH87" s="52">
        <f>MAX(B87:AF87)</f>
        <v>1577.3400000000001</v>
      </c>
      <c r="AI87" s="53">
        <f>MIN(B87:AF87)</f>
        <v>1038.94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/>
      <c r="J88" s="104">
        <v>50</v>
      </c>
      <c r="K88" s="104">
        <v>200</v>
      </c>
      <c r="L88" s="104">
        <v>250</v>
      </c>
      <c r="M88" s="104">
        <v>250</v>
      </c>
      <c r="N88" s="104">
        <v>200</v>
      </c>
      <c r="O88" s="104">
        <v>180</v>
      </c>
      <c r="P88" s="104">
        <v>180</v>
      </c>
      <c r="Q88" s="104">
        <v>150</v>
      </c>
      <c r="R88" s="104">
        <v>50</v>
      </c>
      <c r="S88" s="104">
        <v>50</v>
      </c>
      <c r="T88" s="104">
        <v>120</v>
      </c>
      <c r="U88" s="104">
        <v>120</v>
      </c>
      <c r="V88" s="104">
        <v>220</v>
      </c>
      <c r="W88" s="104">
        <v>220</v>
      </c>
      <c r="X88" s="104">
        <v>220</v>
      </c>
      <c r="Y88" s="104">
        <v>220</v>
      </c>
      <c r="Z88" s="104">
        <v>260</v>
      </c>
      <c r="AA88" s="104">
        <v>260</v>
      </c>
      <c r="AB88" s="104">
        <v>260</v>
      </c>
      <c r="AC88" s="104">
        <v>260</v>
      </c>
      <c r="AD88" s="104">
        <v>260</v>
      </c>
      <c r="AE88" s="104">
        <v>260</v>
      </c>
      <c r="AF88" s="104">
        <v>100</v>
      </c>
      <c r="AG88" s="95"/>
      <c r="AH88" s="52">
        <f t="shared" si="12"/>
        <v>260</v>
      </c>
      <c r="AI88" s="53">
        <f t="shared" si="13"/>
        <v>50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" si="18">B87+B88</f>
        <v>1341.64</v>
      </c>
      <c r="C89" s="102">
        <f t="shared" ref="C89:AF89" si="19">C87+C88</f>
        <v>1210.6400000000001</v>
      </c>
      <c r="D89" s="102">
        <f t="shared" si="19"/>
        <v>1189.1400000000001</v>
      </c>
      <c r="E89" s="102">
        <f t="shared" si="19"/>
        <v>1215.04</v>
      </c>
      <c r="F89" s="102">
        <f t="shared" si="19"/>
        <v>1175.44</v>
      </c>
      <c r="G89" s="102">
        <f t="shared" si="19"/>
        <v>1116.3399999999999</v>
      </c>
      <c r="H89" s="102">
        <f t="shared" si="19"/>
        <v>1119.54</v>
      </c>
      <c r="I89" s="102">
        <f t="shared" si="19"/>
        <v>1145.74</v>
      </c>
      <c r="J89" s="102">
        <f t="shared" si="19"/>
        <v>1173.94</v>
      </c>
      <c r="K89" s="102">
        <f t="shared" si="19"/>
        <v>1381.57</v>
      </c>
      <c r="L89" s="102">
        <f t="shared" si="19"/>
        <v>1527.54</v>
      </c>
      <c r="M89" s="102">
        <f t="shared" si="19"/>
        <v>1559.74</v>
      </c>
      <c r="N89" s="102">
        <f t="shared" si="19"/>
        <v>1492.1399999999999</v>
      </c>
      <c r="O89" s="102">
        <f t="shared" si="19"/>
        <v>1549.7399999999998</v>
      </c>
      <c r="P89" s="102">
        <f t="shared" si="19"/>
        <v>1538.34</v>
      </c>
      <c r="Q89" s="102">
        <f t="shared" si="19"/>
        <v>1569.3400000000001</v>
      </c>
      <c r="R89" s="102">
        <f t="shared" si="19"/>
        <v>1618.44</v>
      </c>
      <c r="S89" s="102">
        <f t="shared" si="19"/>
        <v>1627.3400000000001</v>
      </c>
      <c r="T89" s="102">
        <f t="shared" si="19"/>
        <v>1596.44</v>
      </c>
      <c r="U89" s="102">
        <f t="shared" si="19"/>
        <v>1562.3400000000001</v>
      </c>
      <c r="V89" s="102">
        <f t="shared" si="19"/>
        <v>1701.1399999999999</v>
      </c>
      <c r="W89" s="102">
        <f t="shared" si="19"/>
        <v>1701.54</v>
      </c>
      <c r="X89" s="102">
        <f t="shared" si="19"/>
        <v>1633.04</v>
      </c>
      <c r="Y89" s="102">
        <f t="shared" si="19"/>
        <v>1594.04</v>
      </c>
      <c r="Z89" s="102">
        <f t="shared" si="19"/>
        <v>1788.34</v>
      </c>
      <c r="AA89" s="102">
        <f t="shared" si="19"/>
        <v>1780.1399999999999</v>
      </c>
      <c r="AB89" s="102">
        <f t="shared" si="19"/>
        <v>1693.3400000000001</v>
      </c>
      <c r="AC89" s="102">
        <f t="shared" si="19"/>
        <v>1705.3400000000001</v>
      </c>
      <c r="AD89" s="102">
        <f t="shared" si="19"/>
        <v>1705.3400000000001</v>
      </c>
      <c r="AE89" s="102">
        <f t="shared" si="19"/>
        <v>1589.3400000000001</v>
      </c>
      <c r="AF89" s="102">
        <f t="shared" si="19"/>
        <v>1138.94</v>
      </c>
      <c r="AG89" s="95">
        <f>AG86+AG82+AG70+AG66+AG48+AG88</f>
        <v>1526.99</v>
      </c>
      <c r="AH89" s="52">
        <f t="shared" si="12"/>
        <v>1788.34</v>
      </c>
      <c r="AI89" s="53">
        <f t="shared" si="13"/>
        <v>1116.3399999999999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" si="20">B89-B97</f>
        <v>1341.64</v>
      </c>
      <c r="C90" s="102">
        <f t="shared" ref="C90:AF90" si="21">C89-C97</f>
        <v>1210.6400000000001</v>
      </c>
      <c r="D90" s="102">
        <f t="shared" si="21"/>
        <v>1189.1400000000001</v>
      </c>
      <c r="E90" s="102">
        <f t="shared" si="21"/>
        <v>1215.04</v>
      </c>
      <c r="F90" s="102">
        <f t="shared" si="21"/>
        <v>1175.44</v>
      </c>
      <c r="G90" s="102">
        <f t="shared" si="21"/>
        <v>1116.3399999999999</v>
      </c>
      <c r="H90" s="102">
        <f t="shared" si="21"/>
        <v>1119.54</v>
      </c>
      <c r="I90" s="102">
        <f t="shared" si="21"/>
        <v>1145.74</v>
      </c>
      <c r="J90" s="102">
        <f t="shared" si="21"/>
        <v>1173.94</v>
      </c>
      <c r="K90" s="102">
        <f t="shared" si="21"/>
        <v>1381.57</v>
      </c>
      <c r="L90" s="102">
        <f t="shared" si="21"/>
        <v>1527.54</v>
      </c>
      <c r="M90" s="102">
        <f t="shared" si="21"/>
        <v>1559.74</v>
      </c>
      <c r="N90" s="102">
        <f t="shared" si="21"/>
        <v>1492.1399999999999</v>
      </c>
      <c r="O90" s="102">
        <f t="shared" si="21"/>
        <v>1549.7399999999998</v>
      </c>
      <c r="P90" s="102">
        <f t="shared" si="21"/>
        <v>1538.34</v>
      </c>
      <c r="Q90" s="102">
        <f t="shared" si="21"/>
        <v>1569.3400000000001</v>
      </c>
      <c r="R90" s="102">
        <f t="shared" si="21"/>
        <v>1618.44</v>
      </c>
      <c r="S90" s="102">
        <f t="shared" si="21"/>
        <v>1627.3400000000001</v>
      </c>
      <c r="T90" s="102">
        <f t="shared" si="21"/>
        <v>1596.44</v>
      </c>
      <c r="U90" s="102">
        <f t="shared" si="21"/>
        <v>1562.3400000000001</v>
      </c>
      <c r="V90" s="102">
        <f t="shared" si="21"/>
        <v>1701.1399999999999</v>
      </c>
      <c r="W90" s="102">
        <f t="shared" si="21"/>
        <v>1701.54</v>
      </c>
      <c r="X90" s="102">
        <f t="shared" si="21"/>
        <v>1633.04</v>
      </c>
      <c r="Y90" s="102">
        <f t="shared" si="21"/>
        <v>1594.04</v>
      </c>
      <c r="Z90" s="102">
        <f t="shared" si="21"/>
        <v>1788.34</v>
      </c>
      <c r="AA90" s="102">
        <f t="shared" si="21"/>
        <v>1780.1399999999999</v>
      </c>
      <c r="AB90" s="102">
        <f t="shared" si="21"/>
        <v>1693.3400000000001</v>
      </c>
      <c r="AC90" s="102">
        <f t="shared" si="21"/>
        <v>1705.3400000000001</v>
      </c>
      <c r="AD90" s="102">
        <f t="shared" si="21"/>
        <v>1705.3400000000001</v>
      </c>
      <c r="AE90" s="102">
        <f t="shared" si="21"/>
        <v>1589.3400000000001</v>
      </c>
      <c r="AF90" s="102">
        <f t="shared" si="21"/>
        <v>1138.94</v>
      </c>
      <c r="AG90" s="95"/>
      <c r="AH90" s="52">
        <f t="shared" si="12"/>
        <v>1788.34</v>
      </c>
      <c r="AI90" s="53">
        <f t="shared" si="13"/>
        <v>1116.3399999999999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2"/>
        <v>0</v>
      </c>
      <c r="AI91" s="53">
        <f t="shared" si="13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2"/>
        <v>0</v>
      </c>
      <c r="AI92" s="53">
        <f t="shared" si="13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2"/>
        <v>0</v>
      </c>
      <c r="AI93" s="53">
        <f t="shared" si="13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2"/>
        <v>0</v>
      </c>
      <c r="AI94" s="53">
        <f t="shared" si="13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2"/>
        <v>0</v>
      </c>
      <c r="AI95" s="53">
        <f t="shared" si="13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2"/>
        <v>0</v>
      </c>
      <c r="AI96" s="53">
        <f t="shared" si="13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2"/>
        <v>0</v>
      </c>
      <c r="AI97" s="53">
        <f t="shared" si="13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" si="22">B82-B97</f>
        <v>397.8</v>
      </c>
      <c r="C98" s="67">
        <f t="shared" ref="C98:AF98" si="23">C82-C97</f>
        <v>385.3</v>
      </c>
      <c r="D98" s="67">
        <f t="shared" si="23"/>
        <v>393.8</v>
      </c>
      <c r="E98" s="67">
        <f t="shared" si="23"/>
        <v>419.70000000000005</v>
      </c>
      <c r="F98" s="67">
        <f t="shared" si="23"/>
        <v>430.1</v>
      </c>
      <c r="G98" s="67">
        <f t="shared" si="23"/>
        <v>395</v>
      </c>
      <c r="H98" s="67">
        <f t="shared" si="23"/>
        <v>402</v>
      </c>
      <c r="I98" s="67">
        <f t="shared" si="23"/>
        <v>455</v>
      </c>
      <c r="J98" s="67">
        <f t="shared" si="23"/>
        <v>385</v>
      </c>
      <c r="K98" s="67">
        <f t="shared" si="23"/>
        <v>351</v>
      </c>
      <c r="L98" s="67">
        <f t="shared" si="23"/>
        <v>415</v>
      </c>
      <c r="M98" s="67">
        <f t="shared" si="23"/>
        <v>502.90000000000003</v>
      </c>
      <c r="N98" s="67">
        <f t="shared" si="23"/>
        <v>607.09999999999991</v>
      </c>
      <c r="O98" s="67">
        <f t="shared" si="23"/>
        <v>691.19999999999993</v>
      </c>
      <c r="P98" s="67">
        <f t="shared" si="23"/>
        <v>637.29999999999995</v>
      </c>
      <c r="Q98" s="67">
        <f t="shared" si="23"/>
        <v>659.6</v>
      </c>
      <c r="R98" s="67">
        <f t="shared" si="23"/>
        <v>671.6</v>
      </c>
      <c r="S98" s="67">
        <f t="shared" si="23"/>
        <v>681.6</v>
      </c>
      <c r="T98" s="67">
        <f t="shared" si="23"/>
        <v>594</v>
      </c>
      <c r="U98" s="67">
        <f t="shared" si="23"/>
        <v>631.6</v>
      </c>
      <c r="V98" s="67">
        <f t="shared" si="23"/>
        <v>616</v>
      </c>
      <c r="W98" s="67">
        <f t="shared" si="23"/>
        <v>629</v>
      </c>
      <c r="X98" s="67">
        <f t="shared" si="23"/>
        <v>570</v>
      </c>
      <c r="Y98" s="67">
        <f t="shared" si="23"/>
        <v>528.5</v>
      </c>
      <c r="Z98" s="67">
        <f t="shared" si="23"/>
        <v>596.49999999999989</v>
      </c>
      <c r="AA98" s="67">
        <f t="shared" si="23"/>
        <v>578.29999999999995</v>
      </c>
      <c r="AB98" s="67">
        <f t="shared" si="23"/>
        <v>532</v>
      </c>
      <c r="AC98" s="67">
        <f t="shared" si="23"/>
        <v>514</v>
      </c>
      <c r="AD98" s="67">
        <f t="shared" si="23"/>
        <v>514</v>
      </c>
      <c r="AE98" s="67">
        <f t="shared" si="23"/>
        <v>452</v>
      </c>
      <c r="AF98" s="67">
        <f t="shared" si="23"/>
        <v>85</v>
      </c>
      <c r="AG98" s="95"/>
      <c r="AH98" s="52">
        <f t="shared" si="12"/>
        <v>691.19999999999993</v>
      </c>
      <c r="AI98" s="53">
        <f t="shared" si="13"/>
        <v>85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50.021000000000001</v>
      </c>
      <c r="C99" s="108">
        <v>50.055999999999997</v>
      </c>
      <c r="D99" s="108">
        <v>49.984000000000002</v>
      </c>
      <c r="E99" s="108">
        <v>50.079000000000001</v>
      </c>
      <c r="F99" s="108">
        <v>50.079000000000001</v>
      </c>
      <c r="G99" s="108">
        <v>50.026000000000003</v>
      </c>
      <c r="H99" s="108">
        <v>49.881</v>
      </c>
      <c r="I99" s="108">
        <v>49.994999999999997</v>
      </c>
      <c r="J99" s="108">
        <v>50.006799999999998</v>
      </c>
      <c r="K99" s="108">
        <v>50.033999999999999</v>
      </c>
      <c r="L99" s="108">
        <v>49.93</v>
      </c>
      <c r="M99" s="108">
        <v>50.061999999999998</v>
      </c>
      <c r="N99" s="108">
        <v>50.031999999999996</v>
      </c>
      <c r="O99" s="108">
        <v>49.917000000000002</v>
      </c>
      <c r="P99" s="108">
        <v>50.103000000000002</v>
      </c>
      <c r="Q99" s="108">
        <v>49.8</v>
      </c>
      <c r="R99" s="108">
        <v>50.143000000000001</v>
      </c>
      <c r="S99" s="108">
        <v>49.965000000000003</v>
      </c>
      <c r="T99" s="108">
        <v>49.978000000000002</v>
      </c>
      <c r="U99" s="108">
        <v>49.844999999999999</v>
      </c>
      <c r="V99" s="108">
        <v>49.991</v>
      </c>
      <c r="W99" s="108">
        <v>49.991</v>
      </c>
      <c r="X99" s="108">
        <v>50.064999999999998</v>
      </c>
      <c r="Y99" s="108">
        <v>50.052999999999997</v>
      </c>
      <c r="Z99" s="108">
        <v>50.045000000000002</v>
      </c>
      <c r="AA99" s="108">
        <v>50.018999999999998</v>
      </c>
      <c r="AB99" s="108">
        <v>50.09</v>
      </c>
      <c r="AC99" s="108">
        <v>50.09</v>
      </c>
      <c r="AD99" s="108">
        <v>50.09</v>
      </c>
      <c r="AE99" s="108">
        <v>50.09</v>
      </c>
      <c r="AF99" s="108">
        <v>50.03</v>
      </c>
      <c r="AG99" s="109"/>
      <c r="AH99" s="52">
        <f t="shared" si="12"/>
        <v>50.143000000000001</v>
      </c>
      <c r="AI99" s="53">
        <f t="shared" si="13"/>
        <v>49.8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125.5</v>
      </c>
      <c r="C100" s="72">
        <v>125.5</v>
      </c>
      <c r="D100" s="72">
        <v>128</v>
      </c>
      <c r="E100" s="72">
        <v>128</v>
      </c>
      <c r="F100" s="72">
        <v>128</v>
      </c>
      <c r="G100" s="72">
        <v>127.4</v>
      </c>
      <c r="H100" s="72">
        <v>126.5</v>
      </c>
      <c r="I100" s="72">
        <v>128</v>
      </c>
      <c r="J100" s="72">
        <v>126.6</v>
      </c>
      <c r="K100" s="72">
        <v>127.8</v>
      </c>
      <c r="L100" s="72">
        <v>126.9</v>
      </c>
      <c r="M100" s="72">
        <v>126.5</v>
      </c>
      <c r="N100" s="72">
        <v>126.5</v>
      </c>
      <c r="O100" s="72">
        <v>125.5</v>
      </c>
      <c r="P100" s="72">
        <v>125.5</v>
      </c>
      <c r="Q100" s="72">
        <v>124.8</v>
      </c>
      <c r="R100" s="72">
        <v>124.6</v>
      </c>
      <c r="S100" s="72">
        <v>123.9</v>
      </c>
      <c r="T100" s="72">
        <v>126.8</v>
      </c>
      <c r="U100" s="72">
        <v>127.5</v>
      </c>
      <c r="V100" s="72">
        <v>125.8</v>
      </c>
      <c r="W100" s="72">
        <v>125.8</v>
      </c>
      <c r="X100" s="72">
        <v>127.9</v>
      </c>
      <c r="Y100" s="72">
        <v>127.3</v>
      </c>
      <c r="Z100" s="72">
        <v>126.8</v>
      </c>
      <c r="AA100" s="72">
        <v>127.3</v>
      </c>
      <c r="AB100" s="72">
        <v>128</v>
      </c>
      <c r="AC100" s="72">
        <v>128</v>
      </c>
      <c r="AD100" s="72">
        <v>128</v>
      </c>
      <c r="AE100" s="72">
        <v>128</v>
      </c>
      <c r="AF100" s="72">
        <v>128</v>
      </c>
      <c r="AG100" s="111"/>
      <c r="AH100" s="52">
        <f t="shared" si="12"/>
        <v>128</v>
      </c>
      <c r="AI100" s="53">
        <f t="shared" si="13"/>
        <v>123.9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130.1</v>
      </c>
      <c r="C101" s="72">
        <v>130.1</v>
      </c>
      <c r="D101" s="72">
        <v>132.30000000000001</v>
      </c>
      <c r="E101" s="72">
        <v>132.30000000000001</v>
      </c>
      <c r="F101" s="72">
        <v>132.30000000000001</v>
      </c>
      <c r="G101" s="72">
        <v>131.4</v>
      </c>
      <c r="H101" s="72">
        <v>130.5</v>
      </c>
      <c r="I101" s="72">
        <v>131.30000000000001</v>
      </c>
      <c r="J101" s="72">
        <v>129.5</v>
      </c>
      <c r="K101" s="72">
        <v>130</v>
      </c>
      <c r="L101" s="72">
        <v>128.4</v>
      </c>
      <c r="M101" s="72">
        <v>128.4</v>
      </c>
      <c r="N101" s="72">
        <v>128.4</v>
      </c>
      <c r="O101" s="72">
        <v>128</v>
      </c>
      <c r="P101" s="72">
        <v>128</v>
      </c>
      <c r="Q101" s="72">
        <v>128</v>
      </c>
      <c r="R101" s="72">
        <v>127.5</v>
      </c>
      <c r="S101" s="72">
        <v>127.4</v>
      </c>
      <c r="T101" s="72">
        <v>129.5</v>
      </c>
      <c r="U101" s="72">
        <v>129.5</v>
      </c>
      <c r="V101" s="72">
        <v>128.80000000000001</v>
      </c>
      <c r="W101" s="72">
        <v>128.80000000000001</v>
      </c>
      <c r="X101" s="72">
        <v>129.69999999999999</v>
      </c>
      <c r="Y101" s="72">
        <v>129.4</v>
      </c>
      <c r="Z101" s="72">
        <v>129</v>
      </c>
      <c r="AA101" s="72">
        <v>129.4</v>
      </c>
      <c r="AB101" s="72">
        <v>130.9</v>
      </c>
      <c r="AC101" s="72">
        <v>130.9</v>
      </c>
      <c r="AD101" s="72">
        <v>130.9</v>
      </c>
      <c r="AE101" s="72">
        <v>130.9</v>
      </c>
      <c r="AF101" s="72">
        <v>131</v>
      </c>
      <c r="AG101" s="111"/>
      <c r="AH101" s="52">
        <f t="shared" si="12"/>
        <v>132.30000000000001</v>
      </c>
      <c r="AI101" s="53">
        <f t="shared" si="13"/>
        <v>127.4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157</v>
      </c>
      <c r="C102" s="72">
        <v>157</v>
      </c>
      <c r="D102" s="72">
        <v>132.4</v>
      </c>
      <c r="E102" s="72">
        <v>132.4</v>
      </c>
      <c r="F102" s="72">
        <v>132.4</v>
      </c>
      <c r="G102" s="72">
        <v>131.4</v>
      </c>
      <c r="H102" s="72">
        <v>127</v>
      </c>
      <c r="I102" s="72">
        <v>125.5</v>
      </c>
      <c r="J102" s="72">
        <v>127.5</v>
      </c>
      <c r="K102" s="72">
        <v>127</v>
      </c>
      <c r="L102" s="72">
        <v>128.1</v>
      </c>
      <c r="M102" s="72">
        <v>125.4</v>
      </c>
      <c r="N102" s="72">
        <v>125.4</v>
      </c>
      <c r="O102" s="72">
        <v>124.5</v>
      </c>
      <c r="P102" s="72">
        <v>124.5</v>
      </c>
      <c r="Q102" s="72">
        <v>127</v>
      </c>
      <c r="R102" s="72">
        <v>127.5</v>
      </c>
      <c r="S102" s="72">
        <v>124.8</v>
      </c>
      <c r="T102" s="72">
        <v>126.5</v>
      </c>
      <c r="U102" s="72">
        <v>125.9</v>
      </c>
      <c r="V102" s="72">
        <v>126.1</v>
      </c>
      <c r="W102" s="72">
        <v>126.1</v>
      </c>
      <c r="X102" s="72">
        <v>125.1</v>
      </c>
      <c r="Y102" s="72">
        <v>138.30000000000001</v>
      </c>
      <c r="Z102" s="72">
        <v>131.1</v>
      </c>
      <c r="AA102" s="72">
        <v>128.9</v>
      </c>
      <c r="AB102" s="72">
        <v>130</v>
      </c>
      <c r="AC102" s="72">
        <v>130</v>
      </c>
      <c r="AD102" s="72">
        <v>130</v>
      </c>
      <c r="AE102" s="72">
        <v>130</v>
      </c>
      <c r="AF102" s="72">
        <v>131</v>
      </c>
      <c r="AG102" s="111"/>
      <c r="AH102" s="52">
        <f t="shared" si="12"/>
        <v>157</v>
      </c>
      <c r="AI102" s="53">
        <f t="shared" si="13"/>
        <v>124.5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2"/>
        <v>0</v>
      </c>
      <c r="AI103" s="53">
        <f t="shared" si="13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128</v>
      </c>
      <c r="C104" s="113">
        <v>128</v>
      </c>
      <c r="D104" s="113">
        <v>131.5</v>
      </c>
      <c r="E104" s="113">
        <v>131.5</v>
      </c>
      <c r="F104" s="113">
        <v>131.5</v>
      </c>
      <c r="G104" s="113">
        <v>130.4</v>
      </c>
      <c r="H104" s="113">
        <v>130.69999999999999</v>
      </c>
      <c r="I104" s="113">
        <v>133.19999999999999</v>
      </c>
      <c r="J104" s="113">
        <v>130</v>
      </c>
      <c r="K104" s="113">
        <v>133.80000000000001</v>
      </c>
      <c r="L104" s="113">
        <v>128.4</v>
      </c>
      <c r="M104" s="113">
        <v>130.69999999999999</v>
      </c>
      <c r="N104" s="113">
        <v>130.69999999999999</v>
      </c>
      <c r="O104" s="113">
        <v>133</v>
      </c>
      <c r="P104" s="113">
        <v>133</v>
      </c>
      <c r="Q104" s="113">
        <v>129.19999999999999</v>
      </c>
      <c r="R104" s="113">
        <v>133.1</v>
      </c>
      <c r="S104" s="113">
        <v>131.9</v>
      </c>
      <c r="T104" s="113">
        <v>136.80000000000001</v>
      </c>
      <c r="U104" s="113">
        <v>134.69999999999999</v>
      </c>
      <c r="V104" s="113">
        <v>134.30000000000001</v>
      </c>
      <c r="W104" s="113">
        <v>134.30000000000001</v>
      </c>
      <c r="X104" s="113">
        <v>132.5</v>
      </c>
      <c r="Y104" s="113">
        <v>133</v>
      </c>
      <c r="Z104" s="113">
        <v>133.5</v>
      </c>
      <c r="AA104" s="113">
        <v>132.9</v>
      </c>
      <c r="AB104" s="113">
        <v>134.30000000000001</v>
      </c>
      <c r="AC104" s="113">
        <v>134.30000000000001</v>
      </c>
      <c r="AD104" s="113">
        <v>134.30000000000001</v>
      </c>
      <c r="AE104" s="113">
        <v>134.30000000000001</v>
      </c>
      <c r="AF104" s="113">
        <v>1285</v>
      </c>
      <c r="AG104" s="114"/>
      <c r="AH104" s="52">
        <f t="shared" si="12"/>
        <v>1285</v>
      </c>
      <c r="AI104" s="53">
        <f t="shared" si="13"/>
        <v>128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132.5</v>
      </c>
      <c r="C105" s="72">
        <v>132.5</v>
      </c>
      <c r="D105" s="72">
        <v>132.5</v>
      </c>
      <c r="E105" s="72">
        <v>132.5</v>
      </c>
      <c r="F105" s="72">
        <v>132.5</v>
      </c>
      <c r="G105" s="72">
        <v>130.69999999999999</v>
      </c>
      <c r="H105" s="72">
        <v>126.3</v>
      </c>
      <c r="I105" s="72">
        <v>130.6</v>
      </c>
      <c r="J105" s="72">
        <v>130.9</v>
      </c>
      <c r="K105" s="72">
        <v>132.6</v>
      </c>
      <c r="L105" s="72">
        <v>132.30000000000001</v>
      </c>
      <c r="M105" s="72">
        <v>133.19999999999999</v>
      </c>
      <c r="N105" s="72">
        <v>133.19999999999999</v>
      </c>
      <c r="O105" s="72">
        <v>126.1</v>
      </c>
      <c r="P105" s="72">
        <v>126.1</v>
      </c>
      <c r="Q105" s="72">
        <v>124.8</v>
      </c>
      <c r="R105" s="72">
        <v>130.5</v>
      </c>
      <c r="S105" s="72">
        <v>130.1</v>
      </c>
      <c r="T105" s="72">
        <v>127.4</v>
      </c>
      <c r="U105" s="72">
        <v>133.19999999999999</v>
      </c>
      <c r="V105" s="72">
        <v>122.2</v>
      </c>
      <c r="W105" s="72">
        <v>122.2</v>
      </c>
      <c r="X105" s="72">
        <v>134.5</v>
      </c>
      <c r="Y105" s="72">
        <v>128.30000000000001</v>
      </c>
      <c r="Z105" s="72">
        <v>128</v>
      </c>
      <c r="AA105" s="72">
        <v>127.9</v>
      </c>
      <c r="AB105" s="72">
        <v>132.9</v>
      </c>
      <c r="AC105" s="72">
        <v>132.9</v>
      </c>
      <c r="AD105" s="72">
        <v>132.9</v>
      </c>
      <c r="AE105" s="72">
        <v>132.9</v>
      </c>
      <c r="AF105" s="72">
        <v>132.9</v>
      </c>
      <c r="AG105" s="111"/>
      <c r="AH105" s="52">
        <f t="shared" si="12"/>
        <v>134.5</v>
      </c>
      <c r="AI105" s="53">
        <f t="shared" si="13"/>
        <v>122.2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65</v>
      </c>
      <c r="C106" s="99">
        <v>65</v>
      </c>
      <c r="D106" s="99">
        <v>65</v>
      </c>
      <c r="E106" s="99">
        <v>65</v>
      </c>
      <c r="F106" s="99">
        <v>65</v>
      </c>
      <c r="G106" s="99">
        <v>65.599999999999994</v>
      </c>
      <c r="H106" s="99">
        <v>65.2</v>
      </c>
      <c r="I106" s="99">
        <v>65.7</v>
      </c>
      <c r="J106" s="99">
        <v>64.8</v>
      </c>
      <c r="K106" s="99">
        <v>65</v>
      </c>
      <c r="L106" s="99">
        <v>64.400000000000006</v>
      </c>
      <c r="M106" s="99">
        <v>64.2</v>
      </c>
      <c r="N106" s="99">
        <v>64.2</v>
      </c>
      <c r="O106" s="99">
        <v>63.9</v>
      </c>
      <c r="P106" s="99">
        <v>63.9</v>
      </c>
      <c r="Q106" s="99">
        <v>63.7</v>
      </c>
      <c r="R106" s="99">
        <v>63.7</v>
      </c>
      <c r="S106" s="99">
        <v>63.8</v>
      </c>
      <c r="T106" s="99">
        <v>64.3</v>
      </c>
      <c r="U106" s="99">
        <v>64.5</v>
      </c>
      <c r="V106" s="99">
        <v>64.5</v>
      </c>
      <c r="W106" s="99">
        <v>64.5</v>
      </c>
      <c r="X106" s="99">
        <v>64.900000000000006</v>
      </c>
      <c r="Y106" s="99">
        <v>64.8</v>
      </c>
      <c r="Z106" s="99">
        <v>64.5</v>
      </c>
      <c r="AA106" s="99">
        <v>64.5</v>
      </c>
      <c r="AB106" s="99">
        <v>65.5</v>
      </c>
      <c r="AC106" s="99">
        <v>65.5</v>
      </c>
      <c r="AD106" s="99">
        <v>65.5</v>
      </c>
      <c r="AE106" s="99">
        <v>65.5</v>
      </c>
      <c r="AF106" s="99">
        <v>65.5</v>
      </c>
      <c r="AG106" s="115"/>
      <c r="AH106" s="52">
        <f t="shared" si="12"/>
        <v>65.7</v>
      </c>
      <c r="AI106" s="53">
        <f t="shared" si="13"/>
        <v>63.7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2"/>
        <v>0</v>
      </c>
      <c r="AI107" s="53">
        <f t="shared" si="13"/>
        <v>0</v>
      </c>
    </row>
    <row r="108" spans="1:88" ht="15.75" thickBot="1" x14ac:dyDescent="0.3">
      <c r="A108" s="117" t="s">
        <v>116</v>
      </c>
      <c r="B108" s="118">
        <f t="shared" ref="B108" si="24">SUM(B18,B24,B27:B28,B56,B58:B59,B61,B63,B109:B113,B135,B141,B147,B156,B158,B170,B177,B180:B181,B188,B190,B192,B196:B198,B200:B202,B207,B213:B214,B216:B218,B226,B231)</f>
        <v>128.60000000000002</v>
      </c>
      <c r="C108" s="118">
        <f t="shared" ref="C108:AF108" si="25">SUM(C18,C24,C27:C28,C56,C58:C59,C61,C63,C109:C113,C135,C141,C147,C156,C158,C170,C177,C180:C181,C188,C190,C192,C196:C198,C200:C202,C207,C213:C214,C216:C218,C226,C231)</f>
        <v>132.14000000000001</v>
      </c>
      <c r="D108" s="118">
        <f t="shared" si="25"/>
        <v>132.14000000000001</v>
      </c>
      <c r="E108" s="118">
        <f t="shared" si="25"/>
        <v>115.04000000000002</v>
      </c>
      <c r="F108" s="118">
        <f t="shared" si="25"/>
        <v>87.640000000000015</v>
      </c>
      <c r="G108" s="118">
        <f t="shared" si="25"/>
        <v>123.70000000000002</v>
      </c>
      <c r="H108" s="118">
        <f t="shared" si="25"/>
        <v>135.14000000000001</v>
      </c>
      <c r="I108" s="118">
        <f t="shared" si="25"/>
        <v>162.44000000000003</v>
      </c>
      <c r="J108" s="118">
        <f t="shared" si="25"/>
        <v>191.54000000000002</v>
      </c>
      <c r="K108" s="118">
        <f t="shared" si="25"/>
        <v>228.24</v>
      </c>
      <c r="L108" s="118">
        <f t="shared" si="25"/>
        <v>242.54000000000002</v>
      </c>
      <c r="M108" s="118">
        <f t="shared" si="25"/>
        <v>245.14000000000001</v>
      </c>
      <c r="N108" s="118">
        <f t="shared" si="25"/>
        <v>246.34</v>
      </c>
      <c r="O108" s="118">
        <f t="shared" si="25"/>
        <v>255.74</v>
      </c>
      <c r="P108" s="118">
        <v>42</v>
      </c>
      <c r="Q108" s="118">
        <f t="shared" si="25"/>
        <v>277</v>
      </c>
      <c r="R108" s="118">
        <f t="shared" si="25"/>
        <v>248.3</v>
      </c>
      <c r="S108" s="118">
        <f t="shared" si="25"/>
        <v>288.7</v>
      </c>
      <c r="T108" s="118">
        <f t="shared" si="25"/>
        <v>296.29999999999995</v>
      </c>
      <c r="U108" s="118">
        <f t="shared" si="25"/>
        <v>305</v>
      </c>
      <c r="V108" s="118">
        <f t="shared" si="25"/>
        <v>294.7</v>
      </c>
      <c r="W108" s="118">
        <f t="shared" si="25"/>
        <v>282.10000000000002</v>
      </c>
      <c r="X108" s="118">
        <f t="shared" si="25"/>
        <v>180</v>
      </c>
      <c r="Y108" s="118">
        <f t="shared" si="25"/>
        <v>312.89999999999998</v>
      </c>
      <c r="Z108" s="118">
        <f t="shared" si="25"/>
        <v>359.6</v>
      </c>
      <c r="AA108" s="118">
        <f t="shared" si="25"/>
        <v>346.1</v>
      </c>
      <c r="AB108" s="118">
        <f t="shared" si="25"/>
        <v>301.3</v>
      </c>
      <c r="AC108" s="118">
        <f t="shared" si="25"/>
        <v>270.7</v>
      </c>
      <c r="AD108" s="118">
        <f t="shared" si="25"/>
        <v>270.7</v>
      </c>
      <c r="AE108" s="118">
        <f t="shared" si="25"/>
        <v>270.7</v>
      </c>
      <c r="AF108" s="118">
        <f t="shared" si="25"/>
        <v>157.69999999999999</v>
      </c>
      <c r="AG108" s="119"/>
      <c r="AH108" s="52">
        <f t="shared" si="12"/>
        <v>359.6</v>
      </c>
      <c r="AI108" s="53">
        <f t="shared" si="13"/>
        <v>42</v>
      </c>
    </row>
    <row r="109" spans="1:88" x14ac:dyDescent="0.25">
      <c r="A109" s="107" t="s">
        <v>117</v>
      </c>
      <c r="B109" s="120">
        <v>-9.1999999999999993</v>
      </c>
      <c r="C109" s="120">
        <v>-5.4</v>
      </c>
      <c r="D109" s="120">
        <v>-5.4</v>
      </c>
      <c r="E109" s="120">
        <v>-3.6</v>
      </c>
      <c r="F109" s="120">
        <v>-13.5</v>
      </c>
      <c r="G109" s="120">
        <v>-19.5</v>
      </c>
      <c r="H109" s="120">
        <v>-7.2</v>
      </c>
      <c r="I109" s="120">
        <v>-2.8</v>
      </c>
      <c r="J109" s="120">
        <v>-10.7</v>
      </c>
      <c r="K109" s="120">
        <v>1.8</v>
      </c>
      <c r="L109" s="120">
        <v>-8.5</v>
      </c>
      <c r="M109" s="120">
        <v>-6.2</v>
      </c>
      <c r="N109" s="120">
        <v>-6.2</v>
      </c>
      <c r="O109" s="120">
        <v>1</v>
      </c>
      <c r="P109" s="120">
        <v>1</v>
      </c>
      <c r="Q109" s="120">
        <v>1.7</v>
      </c>
      <c r="R109" s="120">
        <v>23.3</v>
      </c>
      <c r="S109" s="120">
        <v>17.7</v>
      </c>
      <c r="T109" s="120">
        <v>18.600000000000001</v>
      </c>
      <c r="U109" s="120">
        <v>19.399999999999999</v>
      </c>
      <c r="V109" s="120">
        <v>18</v>
      </c>
      <c r="W109" s="120">
        <v>18</v>
      </c>
      <c r="X109" s="120">
        <v>-5.3</v>
      </c>
      <c r="Y109" s="120">
        <v>7.2</v>
      </c>
      <c r="Z109" s="120">
        <v>18.2</v>
      </c>
      <c r="AA109" s="120">
        <v>20.9</v>
      </c>
      <c r="AB109" s="120">
        <v>22</v>
      </c>
      <c r="AC109" s="120">
        <v>10</v>
      </c>
      <c r="AD109" s="120">
        <v>10</v>
      </c>
      <c r="AE109" s="120">
        <v>10</v>
      </c>
      <c r="AF109" s="120">
        <v>-8</v>
      </c>
      <c r="AG109" s="121">
        <v>75</v>
      </c>
      <c r="AH109" s="52">
        <f t="shared" si="12"/>
        <v>23.3</v>
      </c>
      <c r="AI109" s="53">
        <f t="shared" si="13"/>
        <v>-19.5</v>
      </c>
    </row>
    <row r="110" spans="1:88" x14ac:dyDescent="0.25">
      <c r="A110" s="110" t="s">
        <v>118</v>
      </c>
      <c r="B110" s="122">
        <v>-12.1</v>
      </c>
      <c r="C110" s="122">
        <v>-7.2</v>
      </c>
      <c r="D110" s="122">
        <v>-7.2</v>
      </c>
      <c r="E110" s="122">
        <v>-3.6</v>
      </c>
      <c r="F110" s="122">
        <v>-19.100000000000001</v>
      </c>
      <c r="G110" s="122">
        <v>-29.7</v>
      </c>
      <c r="H110" s="122">
        <v>-10.9</v>
      </c>
      <c r="I110" s="122">
        <v>-7.1</v>
      </c>
      <c r="J110" s="122">
        <v>-18.899999999999999</v>
      </c>
      <c r="K110" s="122">
        <v>-4.2</v>
      </c>
      <c r="L110" s="122">
        <v>-17.5</v>
      </c>
      <c r="M110" s="122">
        <v>-14</v>
      </c>
      <c r="N110" s="122">
        <v>-14</v>
      </c>
      <c r="O110" s="122">
        <v>-3.3</v>
      </c>
      <c r="P110" s="122">
        <v>-3.3</v>
      </c>
      <c r="Q110" s="122">
        <v>-0.9</v>
      </c>
      <c r="R110" s="122">
        <v>29.8</v>
      </c>
      <c r="S110" s="122">
        <v>20.8</v>
      </c>
      <c r="T110" s="122">
        <v>23.9</v>
      </c>
      <c r="U110" s="122">
        <v>22.9</v>
      </c>
      <c r="V110" s="122">
        <v>23</v>
      </c>
      <c r="W110" s="122">
        <v>23</v>
      </c>
      <c r="X110" s="122">
        <v>-13.2</v>
      </c>
      <c r="Y110" s="122">
        <v>3.9</v>
      </c>
      <c r="Z110" s="122">
        <v>19.399999999999999</v>
      </c>
      <c r="AA110" s="122">
        <v>23</v>
      </c>
      <c r="AB110" s="122">
        <v>18.600000000000001</v>
      </c>
      <c r="AC110" s="122">
        <v>10</v>
      </c>
      <c r="AD110" s="122">
        <v>10</v>
      </c>
      <c r="AE110" s="122">
        <v>10</v>
      </c>
      <c r="AF110" s="122">
        <v>-6</v>
      </c>
      <c r="AG110" s="121">
        <v>240</v>
      </c>
      <c r="AH110" s="52">
        <f t="shared" si="12"/>
        <v>29.8</v>
      </c>
      <c r="AI110" s="53">
        <f t="shared" si="13"/>
        <v>-29.7</v>
      </c>
    </row>
    <row r="111" spans="1:88" x14ac:dyDescent="0.25">
      <c r="A111" s="110" t="s">
        <v>119</v>
      </c>
      <c r="B111" s="122">
        <v>-53.2</v>
      </c>
      <c r="C111" s="122">
        <v>-53.6</v>
      </c>
      <c r="D111" s="122">
        <v>-53.6</v>
      </c>
      <c r="E111" s="122">
        <v>-60.4</v>
      </c>
      <c r="F111" s="122">
        <v>-77.2</v>
      </c>
      <c r="G111" s="122">
        <v>-54.3</v>
      </c>
      <c r="H111" s="122">
        <v>-67</v>
      </c>
      <c r="I111" s="122">
        <v>-46</v>
      </c>
      <c r="J111" s="122">
        <v>-30.6</v>
      </c>
      <c r="K111" s="122">
        <v>-24</v>
      </c>
      <c r="L111" s="122">
        <v>1</v>
      </c>
      <c r="M111" s="122">
        <v>-3.5</v>
      </c>
      <c r="N111" s="122">
        <v>-3.5</v>
      </c>
      <c r="O111" s="122">
        <v>-7</v>
      </c>
      <c r="P111" s="122">
        <v>-7</v>
      </c>
      <c r="Q111" s="122">
        <f>12.1+4.2</f>
        <v>16.3</v>
      </c>
      <c r="R111" s="122">
        <v>-47</v>
      </c>
      <c r="S111" s="122">
        <v>-9.5</v>
      </c>
      <c r="T111" s="122">
        <v>2</v>
      </c>
      <c r="U111" s="122">
        <v>16</v>
      </c>
      <c r="V111" s="122">
        <v>8.6</v>
      </c>
      <c r="W111" s="122">
        <v>8.6</v>
      </c>
      <c r="X111" s="122">
        <v>-54</v>
      </c>
      <c r="Y111" s="122">
        <v>50</v>
      </c>
      <c r="Z111" s="122">
        <v>52</v>
      </c>
      <c r="AA111" s="122">
        <v>44</v>
      </c>
      <c r="AB111" s="122">
        <v>23</v>
      </c>
      <c r="AC111" s="122">
        <v>16</v>
      </c>
      <c r="AD111" s="122">
        <v>16</v>
      </c>
      <c r="AE111" s="122">
        <v>16</v>
      </c>
      <c r="AF111" s="122">
        <v>-36</v>
      </c>
      <c r="AG111" s="121">
        <v>240</v>
      </c>
      <c r="AH111" s="52">
        <f t="shared" si="12"/>
        <v>52</v>
      </c>
      <c r="AI111" s="53">
        <f t="shared" si="13"/>
        <v>-77.2</v>
      </c>
    </row>
    <row r="112" spans="1:88" x14ac:dyDescent="0.25">
      <c r="A112" s="110" t="s">
        <v>120</v>
      </c>
      <c r="B112" s="122">
        <v>28.9</v>
      </c>
      <c r="C112" s="122">
        <v>36.1</v>
      </c>
      <c r="D112" s="122">
        <v>36.1</v>
      </c>
      <c r="E112" s="122">
        <v>28</v>
      </c>
      <c r="F112" s="122">
        <v>19.100000000000001</v>
      </c>
      <c r="G112" s="122">
        <v>35.5</v>
      </c>
      <c r="H112" s="122">
        <v>35.4</v>
      </c>
      <c r="I112" s="122">
        <v>36</v>
      </c>
      <c r="J112" s="122">
        <v>43.1</v>
      </c>
      <c r="K112" s="122">
        <v>46.9</v>
      </c>
      <c r="L112" s="122">
        <v>47.1</v>
      </c>
      <c r="M112" s="122">
        <v>46.4</v>
      </c>
      <c r="N112" s="122">
        <v>46.4</v>
      </c>
      <c r="O112" s="122">
        <v>47.1</v>
      </c>
      <c r="P112" s="122">
        <v>47.1</v>
      </c>
      <c r="Q112" s="122">
        <v>45</v>
      </c>
      <c r="R112" s="122">
        <v>42</v>
      </c>
      <c r="S112" s="122">
        <v>43.7</v>
      </c>
      <c r="T112" s="122">
        <v>43.1</v>
      </c>
      <c r="U112" s="122">
        <v>45.7</v>
      </c>
      <c r="V112" s="122">
        <v>47</v>
      </c>
      <c r="W112" s="122">
        <v>47</v>
      </c>
      <c r="X112" s="122">
        <v>50</v>
      </c>
      <c r="Y112" s="122">
        <v>53</v>
      </c>
      <c r="Z112" s="122">
        <v>54</v>
      </c>
      <c r="AA112" s="122">
        <v>52.4</v>
      </c>
      <c r="AB112" s="122">
        <v>50</v>
      </c>
      <c r="AC112" s="122">
        <v>49</v>
      </c>
      <c r="AD112" s="122">
        <v>49</v>
      </c>
      <c r="AE112" s="122">
        <v>49</v>
      </c>
      <c r="AF112" s="122">
        <v>35</v>
      </c>
      <c r="AG112" s="121">
        <v>60</v>
      </c>
      <c r="AH112" s="52">
        <f t="shared" si="12"/>
        <v>54</v>
      </c>
      <c r="AI112" s="53">
        <f t="shared" si="13"/>
        <v>19.100000000000001</v>
      </c>
    </row>
    <row r="113" spans="1:37" x14ac:dyDescent="0.25">
      <c r="A113" s="123" t="s">
        <v>121</v>
      </c>
      <c r="B113" s="124">
        <v>81.8</v>
      </c>
      <c r="C113" s="124">
        <v>68.900000000000006</v>
      </c>
      <c r="D113" s="124">
        <v>68.900000000000006</v>
      </c>
      <c r="E113" s="124">
        <v>61.3</v>
      </c>
      <c r="F113" s="124">
        <v>85</v>
      </c>
      <c r="G113" s="124">
        <v>98.36</v>
      </c>
      <c r="H113" s="124">
        <v>91.5</v>
      </c>
      <c r="I113" s="124">
        <v>89</v>
      </c>
      <c r="J113" s="124">
        <v>111.7</v>
      </c>
      <c r="K113" s="124">
        <v>108.8</v>
      </c>
      <c r="L113" s="124">
        <v>121.8</v>
      </c>
      <c r="M113" s="124">
        <v>118.5</v>
      </c>
      <c r="N113" s="124">
        <v>118.5</v>
      </c>
      <c r="O113" s="124">
        <v>109.1</v>
      </c>
      <c r="P113" s="124">
        <v>109.1</v>
      </c>
      <c r="Q113" s="124">
        <v>103.9</v>
      </c>
      <c r="R113" s="124">
        <v>91</v>
      </c>
      <c r="S113" s="124">
        <v>106.8</v>
      </c>
      <c r="T113" s="124">
        <v>102</v>
      </c>
      <c r="U113" s="124">
        <v>94.3</v>
      </c>
      <c r="V113" s="124">
        <v>98</v>
      </c>
      <c r="W113" s="124">
        <v>98</v>
      </c>
      <c r="X113" s="124">
        <v>115</v>
      </c>
      <c r="Y113" s="124">
        <v>109</v>
      </c>
      <c r="Z113" s="124">
        <v>126.2</v>
      </c>
      <c r="AA113" s="124">
        <v>116</v>
      </c>
      <c r="AB113" s="124">
        <v>100</v>
      </c>
      <c r="AC113" s="124">
        <v>98</v>
      </c>
      <c r="AD113" s="124">
        <v>98</v>
      </c>
      <c r="AE113" s="124">
        <v>98</v>
      </c>
      <c r="AF113" s="124">
        <v>85</v>
      </c>
      <c r="AG113" s="125">
        <v>120</v>
      </c>
      <c r="AH113" s="52">
        <f t="shared" si="12"/>
        <v>126.2</v>
      </c>
      <c r="AI113" s="53">
        <f t="shared" si="13"/>
        <v>61.3</v>
      </c>
    </row>
    <row r="114" spans="1:37" x14ac:dyDescent="0.25">
      <c r="A114" s="123" t="s">
        <v>122</v>
      </c>
      <c r="B114" s="124">
        <v>104.2</v>
      </c>
      <c r="C114" s="124">
        <v>96.5</v>
      </c>
      <c r="D114" s="124">
        <v>96.5</v>
      </c>
      <c r="E114" s="124">
        <v>94.3</v>
      </c>
      <c r="F114" s="124">
        <v>106</v>
      </c>
      <c r="G114" s="124">
        <v>103.2</v>
      </c>
      <c r="H114" s="124">
        <v>100.4</v>
      </c>
      <c r="I114" s="124">
        <v>85</v>
      </c>
      <c r="J114" s="124">
        <v>93</v>
      </c>
      <c r="K114" s="124">
        <v>89</v>
      </c>
      <c r="L114" s="124">
        <v>93</v>
      </c>
      <c r="M114" s="124">
        <v>90.7</v>
      </c>
      <c r="N114" s="124">
        <v>90.7</v>
      </c>
      <c r="O114" s="124">
        <v>96.2</v>
      </c>
      <c r="P114" s="124">
        <v>96.2</v>
      </c>
      <c r="Q114" s="124">
        <v>97.6</v>
      </c>
      <c r="R114" s="124">
        <v>100.2</v>
      </c>
      <c r="S114" s="124">
        <v>114</v>
      </c>
      <c r="T114" s="124">
        <v>105</v>
      </c>
      <c r="U114" s="124">
        <v>86.2</v>
      </c>
      <c r="V114" s="124">
        <v>94</v>
      </c>
      <c r="W114" s="124">
        <v>94</v>
      </c>
      <c r="X114" s="124">
        <v>80</v>
      </c>
      <c r="Y114" s="124">
        <v>87</v>
      </c>
      <c r="Z114" s="124">
        <v>97</v>
      </c>
      <c r="AA114" s="124">
        <v>90</v>
      </c>
      <c r="AB114" s="124">
        <v>85</v>
      </c>
      <c r="AC114" s="124">
        <v>88</v>
      </c>
      <c r="AD114" s="124">
        <v>88</v>
      </c>
      <c r="AE114" s="124">
        <v>88</v>
      </c>
      <c r="AF114" s="124">
        <v>95</v>
      </c>
      <c r="AG114" s="125"/>
      <c r="AH114" s="52">
        <f t="shared" si="12"/>
        <v>114</v>
      </c>
      <c r="AI114" s="53">
        <f t="shared" si="13"/>
        <v>80</v>
      </c>
    </row>
    <row r="115" spans="1:37" x14ac:dyDescent="0.25">
      <c r="A115" s="123" t="s">
        <v>123</v>
      </c>
      <c r="B115" s="124">
        <v>57.7</v>
      </c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>
        <v>53.5</v>
      </c>
      <c r="N115" s="124">
        <v>53.5</v>
      </c>
      <c r="O115" s="124">
        <v>31.6</v>
      </c>
      <c r="P115" s="124">
        <v>31.6</v>
      </c>
      <c r="Q115" s="124">
        <v>41</v>
      </c>
      <c r="R115" s="124">
        <v>33.5</v>
      </c>
      <c r="S115" s="124">
        <v>38</v>
      </c>
      <c r="T115" s="124">
        <v>30.1</v>
      </c>
      <c r="U115" s="124">
        <v>22</v>
      </c>
      <c r="V115" s="124">
        <v>16.3</v>
      </c>
      <c r="W115" s="124">
        <v>16.3</v>
      </c>
      <c r="X115" s="124"/>
      <c r="Y115" s="124"/>
      <c r="Z115" s="124">
        <v>39</v>
      </c>
      <c r="AA115" s="124"/>
      <c r="AB115" s="124"/>
      <c r="AC115" s="124"/>
      <c r="AD115" s="124"/>
      <c r="AE115" s="124"/>
      <c r="AF115" s="124"/>
      <c r="AG115" s="126"/>
      <c r="AH115" s="52">
        <f t="shared" si="12"/>
        <v>57.7</v>
      </c>
      <c r="AI115" s="53">
        <f t="shared" si="13"/>
        <v>16.3</v>
      </c>
    </row>
    <row r="116" spans="1:37" x14ac:dyDescent="0.25">
      <c r="A116" s="127" t="s">
        <v>124</v>
      </c>
      <c r="B116" s="113">
        <v>-38.4</v>
      </c>
      <c r="C116" s="113">
        <v>-41.5</v>
      </c>
      <c r="D116" s="113">
        <v>-41.5</v>
      </c>
      <c r="E116" s="113">
        <v>-34.299999999999997</v>
      </c>
      <c r="F116" s="113">
        <v>-35.5</v>
      </c>
      <c r="G116" s="113">
        <v>-35.799999999999997</v>
      </c>
      <c r="H116" s="113">
        <v>-37.1</v>
      </c>
      <c r="I116" s="113">
        <v>-38</v>
      </c>
      <c r="J116" s="113">
        <v>-49.3</v>
      </c>
      <c r="K116" s="113">
        <v>-35.200000000000003</v>
      </c>
      <c r="L116" s="113">
        <v>-50.32</v>
      </c>
      <c r="M116" s="113">
        <v>-65</v>
      </c>
      <c r="N116" s="113">
        <v>-67</v>
      </c>
      <c r="O116" s="113">
        <v>-52</v>
      </c>
      <c r="P116" s="113">
        <v>-50</v>
      </c>
      <c r="Q116" s="113">
        <v>-48</v>
      </c>
      <c r="R116" s="113">
        <v>-56.7</v>
      </c>
      <c r="S116" s="113">
        <v>-57</v>
      </c>
      <c r="T116" s="113">
        <v>-56.5</v>
      </c>
      <c r="U116" s="113">
        <v>-57</v>
      </c>
      <c r="V116" s="113">
        <v>-51</v>
      </c>
      <c r="W116" s="113">
        <v>-51</v>
      </c>
      <c r="X116" s="113">
        <v>-52</v>
      </c>
      <c r="Y116" s="113">
        <v>-27</v>
      </c>
      <c r="Z116" s="113">
        <v>-51</v>
      </c>
      <c r="AA116" s="113">
        <v>-51.7</v>
      </c>
      <c r="AB116" s="113">
        <v>-22</v>
      </c>
      <c r="AC116" s="113">
        <v>-26</v>
      </c>
      <c r="AD116" s="113">
        <v>-26</v>
      </c>
      <c r="AE116" s="113">
        <v>-26</v>
      </c>
      <c r="AF116" s="113">
        <v>-15</v>
      </c>
      <c r="AG116" s="126"/>
      <c r="AH116" s="52">
        <f t="shared" si="12"/>
        <v>-15</v>
      </c>
      <c r="AI116" s="53">
        <f t="shared" si="13"/>
        <v>-67</v>
      </c>
    </row>
    <row r="117" spans="1:37" ht="15.75" thickBot="1" x14ac:dyDescent="0.3">
      <c r="A117" s="127" t="s">
        <v>125</v>
      </c>
      <c r="B117" s="113">
        <v>65.8</v>
      </c>
      <c r="C117" s="113">
        <v>56.5</v>
      </c>
      <c r="D117" s="113">
        <v>56.5</v>
      </c>
      <c r="E117" s="113">
        <v>60.3</v>
      </c>
      <c r="F117" s="113">
        <v>60.4</v>
      </c>
      <c r="G117" s="113">
        <v>78</v>
      </c>
      <c r="H117" s="113">
        <v>86</v>
      </c>
      <c r="I117" s="113">
        <v>99.6</v>
      </c>
      <c r="J117" s="113">
        <v>105</v>
      </c>
      <c r="K117" s="113">
        <v>113</v>
      </c>
      <c r="L117" s="113">
        <v>106</v>
      </c>
      <c r="M117" s="113">
        <v>110.6</v>
      </c>
      <c r="N117" s="113">
        <v>72</v>
      </c>
      <c r="O117" s="113">
        <v>76.2</v>
      </c>
      <c r="P117" s="113">
        <v>76.2</v>
      </c>
      <c r="Q117" s="113">
        <v>76.099999999999994</v>
      </c>
      <c r="R117" s="113">
        <v>81.2</v>
      </c>
      <c r="S117" s="113">
        <v>83</v>
      </c>
      <c r="T117" s="113">
        <v>83</v>
      </c>
      <c r="U117" s="113">
        <v>80</v>
      </c>
      <c r="V117" s="113">
        <v>80</v>
      </c>
      <c r="W117" s="113">
        <v>80</v>
      </c>
      <c r="X117" s="113">
        <v>87</v>
      </c>
      <c r="Y117" s="113">
        <v>60</v>
      </c>
      <c r="Z117" s="113">
        <v>74</v>
      </c>
      <c r="AA117" s="113">
        <v>84</v>
      </c>
      <c r="AB117" s="113">
        <v>84.5</v>
      </c>
      <c r="AC117" s="113">
        <v>88</v>
      </c>
      <c r="AD117" s="113">
        <v>88</v>
      </c>
      <c r="AE117" s="113">
        <v>88</v>
      </c>
      <c r="AF117" s="113">
        <v>102</v>
      </c>
      <c r="AG117" s="126"/>
      <c r="AH117" s="52">
        <f t="shared" si="12"/>
        <v>113</v>
      </c>
      <c r="AI117" s="53">
        <f t="shared" si="13"/>
        <v>56.5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26">SUM(B119:B223)</f>
        <v>0</v>
      </c>
      <c r="C224" s="144">
        <f t="shared" si="26"/>
        <v>0</v>
      </c>
      <c r="D224" s="144">
        <f t="shared" si="26"/>
        <v>0</v>
      </c>
      <c r="E224" s="144">
        <f t="shared" si="26"/>
        <v>0</v>
      </c>
      <c r="F224" s="144">
        <f t="shared" si="26"/>
        <v>0</v>
      </c>
      <c r="G224" s="144">
        <f t="shared" si="26"/>
        <v>0</v>
      </c>
      <c r="H224" s="144">
        <f t="shared" si="26"/>
        <v>0</v>
      </c>
      <c r="I224" s="144">
        <f t="shared" si="26"/>
        <v>0</v>
      </c>
      <c r="J224" s="144">
        <f t="shared" si="26"/>
        <v>0</v>
      </c>
      <c r="K224" s="144">
        <f t="shared" si="26"/>
        <v>0</v>
      </c>
      <c r="L224" s="144">
        <f t="shared" si="26"/>
        <v>0</v>
      </c>
      <c r="M224" s="144">
        <f t="shared" si="26"/>
        <v>0</v>
      </c>
      <c r="N224" s="144">
        <f t="shared" si="26"/>
        <v>0</v>
      </c>
      <c r="O224" s="144">
        <f t="shared" si="26"/>
        <v>0</v>
      </c>
      <c r="P224" s="144">
        <f t="shared" si="26"/>
        <v>0</v>
      </c>
      <c r="Q224" s="144">
        <f t="shared" si="26"/>
        <v>0</v>
      </c>
      <c r="R224" s="144">
        <f t="shared" si="26"/>
        <v>0</v>
      </c>
      <c r="S224" s="144">
        <f t="shared" si="26"/>
        <v>0</v>
      </c>
      <c r="T224" s="144">
        <f t="shared" si="26"/>
        <v>0</v>
      </c>
      <c r="U224" s="144">
        <f t="shared" si="26"/>
        <v>0</v>
      </c>
      <c r="V224" s="144">
        <f t="shared" si="26"/>
        <v>0</v>
      </c>
      <c r="W224" s="144">
        <f t="shared" si="26"/>
        <v>0</v>
      </c>
      <c r="X224" s="144">
        <f t="shared" si="26"/>
        <v>0</v>
      </c>
      <c r="Y224" s="144">
        <f t="shared" si="26"/>
        <v>0</v>
      </c>
      <c r="Z224" s="144">
        <f t="shared" si="26"/>
        <v>0</v>
      </c>
      <c r="AA224" s="144">
        <f t="shared" si="26"/>
        <v>0</v>
      </c>
      <c r="AB224" s="144">
        <f t="shared" si="26"/>
        <v>0</v>
      </c>
      <c r="AC224" s="144">
        <f t="shared" si="26"/>
        <v>0</v>
      </c>
      <c r="AD224" s="144">
        <f t="shared" si="26"/>
        <v>0</v>
      </c>
      <c r="AE224" s="144">
        <f t="shared" si="26"/>
        <v>0</v>
      </c>
      <c r="AF224" s="145">
        <f t="shared" si="26"/>
        <v>0</v>
      </c>
      <c r="AG224" s="146">
        <f t="shared" si="26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27">AF226</f>
        <v>0</v>
      </c>
      <c r="C226" s="149">
        <v>0.3</v>
      </c>
      <c r="D226" s="149">
        <f t="shared" ref="D226:P231" si="28">C226</f>
        <v>0.3</v>
      </c>
      <c r="E226" s="149">
        <f t="shared" si="28"/>
        <v>0.3</v>
      </c>
      <c r="F226" s="149">
        <f t="shared" si="28"/>
        <v>0.3</v>
      </c>
      <c r="G226" s="149">
        <f t="shared" si="28"/>
        <v>0.3</v>
      </c>
      <c r="H226" s="149">
        <f t="shared" si="28"/>
        <v>0.3</v>
      </c>
      <c r="I226" s="149">
        <f t="shared" si="28"/>
        <v>0.3</v>
      </c>
      <c r="J226" s="149">
        <f t="shared" si="28"/>
        <v>0.3</v>
      </c>
      <c r="K226" s="149">
        <f t="shared" si="28"/>
        <v>0.3</v>
      </c>
      <c r="L226" s="149">
        <f t="shared" si="28"/>
        <v>0.3</v>
      </c>
      <c r="M226" s="149">
        <f t="shared" si="28"/>
        <v>0.3</v>
      </c>
      <c r="N226" s="149">
        <f t="shared" si="28"/>
        <v>0.3</v>
      </c>
      <c r="O226" s="149">
        <f t="shared" si="28"/>
        <v>0.3</v>
      </c>
      <c r="P226" s="149">
        <f t="shared" si="28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27"/>
        <v>0</v>
      </c>
      <c r="C227" s="136">
        <v>0.4</v>
      </c>
      <c r="D227" s="136">
        <f t="shared" si="28"/>
        <v>0.4</v>
      </c>
      <c r="E227" s="136">
        <f t="shared" si="28"/>
        <v>0.4</v>
      </c>
      <c r="F227" s="136">
        <f t="shared" si="28"/>
        <v>0.4</v>
      </c>
      <c r="G227" s="136">
        <f t="shared" si="28"/>
        <v>0.4</v>
      </c>
      <c r="H227" s="136">
        <f t="shared" si="28"/>
        <v>0.4</v>
      </c>
      <c r="I227" s="136">
        <f t="shared" si="28"/>
        <v>0.4</v>
      </c>
      <c r="J227" s="136">
        <f t="shared" si="28"/>
        <v>0.4</v>
      </c>
      <c r="K227" s="136">
        <f t="shared" si="28"/>
        <v>0.4</v>
      </c>
      <c r="L227" s="136">
        <f t="shared" si="28"/>
        <v>0.4</v>
      </c>
      <c r="M227" s="136">
        <f t="shared" si="28"/>
        <v>0.4</v>
      </c>
      <c r="N227" s="136">
        <f t="shared" si="28"/>
        <v>0.4</v>
      </c>
      <c r="O227" s="136">
        <f t="shared" si="28"/>
        <v>0.4</v>
      </c>
      <c r="P227" s="136">
        <f t="shared" si="28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27"/>
        <v>0</v>
      </c>
      <c r="C228" s="136">
        <v>1.5</v>
      </c>
      <c r="D228" s="136">
        <f t="shared" si="28"/>
        <v>1.5</v>
      </c>
      <c r="E228" s="136">
        <f t="shared" si="28"/>
        <v>1.5</v>
      </c>
      <c r="F228" s="136">
        <f t="shared" si="28"/>
        <v>1.5</v>
      </c>
      <c r="G228" s="136">
        <f t="shared" si="28"/>
        <v>1.5</v>
      </c>
      <c r="H228" s="136">
        <f t="shared" si="28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28"/>
        <v>1.5</v>
      </c>
      <c r="K228" s="136">
        <f t="shared" ca="1" si="28"/>
        <v>1.5</v>
      </c>
      <c r="L228" s="136">
        <f t="shared" ca="1" si="28"/>
        <v>1.5</v>
      </c>
      <c r="M228" s="136">
        <f t="shared" ca="1" si="28"/>
        <v>1.5</v>
      </c>
      <c r="N228" s="136">
        <f t="shared" ca="1" si="28"/>
        <v>1.5</v>
      </c>
      <c r="O228" s="136">
        <f t="shared" ca="1" si="28"/>
        <v>1.5</v>
      </c>
      <c r="P228" s="136">
        <f t="shared" ca="1" si="28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27"/>
        <v>0</v>
      </c>
      <c r="C229" s="136">
        <v>0.3</v>
      </c>
      <c r="D229" s="136">
        <f t="shared" si="28"/>
        <v>0.3</v>
      </c>
      <c r="E229" s="136">
        <f t="shared" si="28"/>
        <v>0.3</v>
      </c>
      <c r="F229" s="136">
        <f t="shared" si="28"/>
        <v>0.3</v>
      </c>
      <c r="G229" s="136">
        <f t="shared" si="28"/>
        <v>0.3</v>
      </c>
      <c r="H229" s="136">
        <f t="shared" si="28"/>
        <v>0.3</v>
      </c>
      <c r="I229" s="136">
        <f t="shared" si="28"/>
        <v>0.3</v>
      </c>
      <c r="J229" s="136">
        <f t="shared" si="28"/>
        <v>0.3</v>
      </c>
      <c r="K229" s="136">
        <f t="shared" si="28"/>
        <v>0.3</v>
      </c>
      <c r="L229" s="136">
        <f t="shared" si="28"/>
        <v>0.3</v>
      </c>
      <c r="M229" s="136">
        <f t="shared" si="28"/>
        <v>0.3</v>
      </c>
      <c r="N229" s="136">
        <f t="shared" si="28"/>
        <v>0.3</v>
      </c>
      <c r="O229" s="136">
        <f t="shared" si="28"/>
        <v>0.3</v>
      </c>
      <c r="P229" s="136">
        <f t="shared" si="28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27"/>
        <v>0</v>
      </c>
      <c r="C230" s="136">
        <v>0.4</v>
      </c>
      <c r="D230" s="136">
        <f t="shared" si="28"/>
        <v>0.4</v>
      </c>
      <c r="E230" s="136">
        <f t="shared" si="28"/>
        <v>0.4</v>
      </c>
      <c r="F230" s="136">
        <f t="shared" si="28"/>
        <v>0.4</v>
      </c>
      <c r="G230" s="136">
        <f t="shared" si="28"/>
        <v>0.4</v>
      </c>
      <c r="H230" s="136">
        <f t="shared" si="28"/>
        <v>0.4</v>
      </c>
      <c r="I230" s="136">
        <f t="shared" si="28"/>
        <v>0.4</v>
      </c>
      <c r="J230" s="136">
        <f t="shared" si="28"/>
        <v>0.4</v>
      </c>
      <c r="K230" s="136">
        <f t="shared" si="28"/>
        <v>0.4</v>
      </c>
      <c r="L230" s="136">
        <f t="shared" si="28"/>
        <v>0.4</v>
      </c>
      <c r="M230" s="136">
        <f t="shared" si="28"/>
        <v>0.4</v>
      </c>
      <c r="N230" s="136">
        <f t="shared" si="28"/>
        <v>0.4</v>
      </c>
      <c r="O230" s="136">
        <f t="shared" si="28"/>
        <v>0.4</v>
      </c>
      <c r="P230" s="136">
        <f t="shared" si="28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27"/>
        <v>0</v>
      </c>
      <c r="C231" s="140">
        <v>0.64</v>
      </c>
      <c r="D231" s="140">
        <f t="shared" si="28"/>
        <v>0.64</v>
      </c>
      <c r="E231" s="140">
        <f t="shared" si="28"/>
        <v>0.64</v>
      </c>
      <c r="F231" s="140">
        <f t="shared" si="28"/>
        <v>0.64</v>
      </c>
      <c r="G231" s="140">
        <f t="shared" si="28"/>
        <v>0.64</v>
      </c>
      <c r="H231" s="140">
        <f t="shared" si="28"/>
        <v>0.64</v>
      </c>
      <c r="I231" s="140">
        <f t="shared" si="28"/>
        <v>0.64</v>
      </c>
      <c r="J231" s="140">
        <f t="shared" si="28"/>
        <v>0.64</v>
      </c>
      <c r="K231" s="140">
        <f t="shared" si="28"/>
        <v>0.64</v>
      </c>
      <c r="L231" s="140">
        <f t="shared" si="28"/>
        <v>0.64</v>
      </c>
      <c r="M231" s="140">
        <f t="shared" si="28"/>
        <v>0.64</v>
      </c>
      <c r="N231" s="140">
        <f t="shared" si="28"/>
        <v>0.64</v>
      </c>
      <c r="O231" s="140">
        <f t="shared" si="28"/>
        <v>0.64</v>
      </c>
      <c r="P231" s="140">
        <f t="shared" si="28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29">SUM(B226:B231)</f>
        <v>0</v>
      </c>
      <c r="C232" s="144">
        <f t="shared" si="29"/>
        <v>3.54</v>
      </c>
      <c r="D232" s="144">
        <f t="shared" si="29"/>
        <v>3.54</v>
      </c>
      <c r="E232" s="144">
        <f t="shared" si="29"/>
        <v>3.54</v>
      </c>
      <c r="F232" s="144">
        <f t="shared" si="29"/>
        <v>3.54</v>
      </c>
      <c r="G232" s="144">
        <f t="shared" si="29"/>
        <v>3.54</v>
      </c>
      <c r="H232" s="144">
        <f t="shared" si="29"/>
        <v>3.54</v>
      </c>
      <c r="I232" s="144">
        <f t="shared" ca="1" si="29"/>
        <v>3.54</v>
      </c>
      <c r="J232" s="144">
        <f t="shared" ca="1" si="29"/>
        <v>3.54</v>
      </c>
      <c r="K232" s="144">
        <f t="shared" ca="1" si="29"/>
        <v>3.54</v>
      </c>
      <c r="L232" s="144">
        <f t="shared" ca="1" si="29"/>
        <v>3.54</v>
      </c>
      <c r="M232" s="144">
        <f t="shared" ca="1" si="29"/>
        <v>3.54</v>
      </c>
      <c r="N232" s="144">
        <f t="shared" ca="1" si="29"/>
        <v>3.54</v>
      </c>
      <c r="O232" s="144">
        <f t="shared" ca="1" si="29"/>
        <v>3.54</v>
      </c>
      <c r="P232" s="144">
        <f t="shared" ca="1" si="29"/>
        <v>3.54</v>
      </c>
      <c r="Q232" s="144">
        <f t="shared" si="29"/>
        <v>0</v>
      </c>
      <c r="R232" s="144">
        <f t="shared" si="29"/>
        <v>0</v>
      </c>
      <c r="S232" s="144">
        <f t="shared" si="29"/>
        <v>0</v>
      </c>
      <c r="T232" s="144">
        <f t="shared" si="29"/>
        <v>0</v>
      </c>
      <c r="U232" s="144">
        <f t="shared" si="29"/>
        <v>0</v>
      </c>
      <c r="V232" s="144">
        <f t="shared" si="29"/>
        <v>0</v>
      </c>
      <c r="W232" s="144">
        <f t="shared" si="29"/>
        <v>0</v>
      </c>
      <c r="X232" s="144">
        <f t="shared" si="29"/>
        <v>0</v>
      </c>
      <c r="Y232" s="144">
        <f t="shared" si="29"/>
        <v>0</v>
      </c>
      <c r="Z232" s="144">
        <f t="shared" si="29"/>
        <v>0</v>
      </c>
      <c r="AA232" s="144">
        <f t="shared" si="29"/>
        <v>0</v>
      </c>
      <c r="AB232" s="144">
        <f t="shared" si="29"/>
        <v>0</v>
      </c>
      <c r="AC232" s="144">
        <f t="shared" si="29"/>
        <v>0</v>
      </c>
      <c r="AD232" s="144">
        <f t="shared" si="29"/>
        <v>0</v>
      </c>
      <c r="AE232" s="144">
        <f t="shared" si="29"/>
        <v>0</v>
      </c>
      <c r="AF232" s="144">
        <f t="shared" si="29"/>
        <v>0</v>
      </c>
      <c r="AG232" s="154">
        <f t="shared" si="29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1559.74</v>
      </c>
      <c r="C241" s="170">
        <f>INDEX(G9:N9,1,MATCH(MAX(G89:N89),G89:N89,0))</f>
        <v>0.33333333333333331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6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2079/12/6)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2079/12/6)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30">B89</f>
        <v>1341.64</v>
      </c>
      <c r="U246" s="180">
        <f t="shared" si="30"/>
        <v>1210.6400000000001</v>
      </c>
      <c r="V246" s="180">
        <f t="shared" si="30"/>
        <v>1189.1400000000001</v>
      </c>
      <c r="W246" s="180">
        <f t="shared" si="30"/>
        <v>1215.04</v>
      </c>
      <c r="X246" s="180">
        <f t="shared" si="30"/>
        <v>1175.44</v>
      </c>
      <c r="Y246" s="180">
        <f t="shared" si="30"/>
        <v>1116.3399999999999</v>
      </c>
      <c r="Z246" s="180">
        <f t="shared" si="30"/>
        <v>1119.54</v>
      </c>
      <c r="AA246" s="180">
        <f t="shared" si="30"/>
        <v>1145.74</v>
      </c>
      <c r="AB246" s="180">
        <f t="shared" si="30"/>
        <v>1173.94</v>
      </c>
      <c r="AC246" s="180">
        <f t="shared" si="30"/>
        <v>1381.57</v>
      </c>
      <c r="AD246" s="180">
        <f t="shared" si="30"/>
        <v>1527.54</v>
      </c>
      <c r="AE246" s="180">
        <f t="shared" si="30"/>
        <v>1559.74</v>
      </c>
      <c r="AF246" s="180">
        <f t="shared" si="30"/>
        <v>1492.1399999999999</v>
      </c>
      <c r="AG246" s="180">
        <f t="shared" si="30"/>
        <v>1549.7399999999998</v>
      </c>
      <c r="AH246" s="180">
        <f t="shared" si="30"/>
        <v>1538.34</v>
      </c>
      <c r="AI246" s="180">
        <f t="shared" si="30"/>
        <v>1569.3400000000001</v>
      </c>
      <c r="AJ246" s="180">
        <f t="shared" si="30"/>
        <v>1618.44</v>
      </c>
      <c r="AK246" s="180">
        <f t="shared" si="30"/>
        <v>1627.3400000000001</v>
      </c>
      <c r="AL246" s="180">
        <f t="shared" si="30"/>
        <v>1596.44</v>
      </c>
      <c r="AM246" s="180">
        <f t="shared" si="30"/>
        <v>1562.3400000000001</v>
      </c>
      <c r="AN246" s="180">
        <f t="shared" si="30"/>
        <v>1701.1399999999999</v>
      </c>
      <c r="AO246" s="180">
        <f t="shared" si="30"/>
        <v>1701.54</v>
      </c>
      <c r="AP246" s="180">
        <f t="shared" si="30"/>
        <v>1633.04</v>
      </c>
      <c r="AQ246" s="180">
        <f t="shared" si="30"/>
        <v>1594.04</v>
      </c>
      <c r="AR246" s="180">
        <f t="shared" si="30"/>
        <v>1788.34</v>
      </c>
      <c r="AS246" s="180">
        <f t="shared" si="30"/>
        <v>1780.1399999999999</v>
      </c>
      <c r="AT246" s="180">
        <f t="shared" si="30"/>
        <v>1693.3400000000001</v>
      </c>
      <c r="AU246" s="180">
        <f t="shared" si="30"/>
        <v>1705.3400000000001</v>
      </c>
      <c r="AV246" s="180">
        <f t="shared" si="30"/>
        <v>1705.3400000000001</v>
      </c>
      <c r="AW246" s="180">
        <f t="shared" si="30"/>
        <v>1589.3400000000001</v>
      </c>
      <c r="AX246" s="180">
        <f t="shared" si="30"/>
        <v>1138.94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31">C231</f>
        <v>0.64</v>
      </c>
      <c r="C267" s="183">
        <f t="shared" si="31"/>
        <v>0.64</v>
      </c>
      <c r="D267" s="183">
        <f t="shared" si="31"/>
        <v>0.64</v>
      </c>
      <c r="E267" s="183">
        <f t="shared" si="31"/>
        <v>0.64</v>
      </c>
      <c r="F267" s="183">
        <f t="shared" si="31"/>
        <v>0.64</v>
      </c>
      <c r="G267" s="183">
        <f t="shared" si="31"/>
        <v>0.64</v>
      </c>
      <c r="H267" s="183">
        <f t="shared" si="31"/>
        <v>0.64</v>
      </c>
      <c r="I267" s="183">
        <f t="shared" si="31"/>
        <v>0.64</v>
      </c>
      <c r="J267" s="183">
        <f t="shared" si="31"/>
        <v>0.64</v>
      </c>
      <c r="K267" s="183">
        <f t="shared" si="31"/>
        <v>0.64</v>
      </c>
      <c r="L267" s="183">
        <f t="shared" si="31"/>
        <v>0.64</v>
      </c>
      <c r="M267" s="183">
        <f t="shared" si="31"/>
        <v>0.64</v>
      </c>
      <c r="N267" s="183">
        <f t="shared" si="31"/>
        <v>0.64</v>
      </c>
      <c r="O267" s="183">
        <f t="shared" si="31"/>
        <v>0.64</v>
      </c>
      <c r="P267" s="183">
        <f t="shared" si="31"/>
        <v>0</v>
      </c>
      <c r="Q267" s="183">
        <f t="shared" si="31"/>
        <v>0</v>
      </c>
      <c r="R267" s="183">
        <f t="shared" si="31"/>
        <v>0</v>
      </c>
      <c r="S267" s="183">
        <f t="shared" si="31"/>
        <v>0</v>
      </c>
      <c r="T267" s="183">
        <f t="shared" si="31"/>
        <v>0</v>
      </c>
      <c r="U267" s="183">
        <f t="shared" si="31"/>
        <v>0</v>
      </c>
      <c r="V267" s="183">
        <f t="shared" si="31"/>
        <v>0</v>
      </c>
      <c r="W267" s="183">
        <f t="shared" si="31"/>
        <v>0</v>
      </c>
      <c r="X267" s="183">
        <f t="shared" si="31"/>
        <v>0</v>
      </c>
      <c r="Y267" s="183">
        <f t="shared" si="31"/>
        <v>0</v>
      </c>
      <c r="Z267" s="183">
        <f t="shared" si="31"/>
        <v>0</v>
      </c>
      <c r="AA267" s="183">
        <f t="shared" si="31"/>
        <v>0</v>
      </c>
      <c r="AB267" s="183">
        <f t="shared" si="31"/>
        <v>0</v>
      </c>
      <c r="AC267" s="183">
        <f t="shared" si="31"/>
        <v>0</v>
      </c>
      <c r="AD267" s="183">
        <f t="shared" si="31"/>
        <v>0</v>
      </c>
      <c r="AE267" s="183">
        <f t="shared" si="31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32">IF(B235&lt;100,"",B235-520)</f>
        <v/>
      </c>
      <c r="C268" s="184" t="str">
        <f t="shared" si="32"/>
        <v/>
      </c>
      <c r="D268" s="184" t="str">
        <f t="shared" si="32"/>
        <v/>
      </c>
      <c r="E268" s="184" t="str">
        <f t="shared" si="32"/>
        <v/>
      </c>
      <c r="F268" s="184" t="str">
        <f t="shared" si="32"/>
        <v/>
      </c>
      <c r="G268" s="184" t="str">
        <f t="shared" si="32"/>
        <v/>
      </c>
      <c r="H268" s="184" t="str">
        <f t="shared" si="32"/>
        <v/>
      </c>
      <c r="I268" s="184" t="str">
        <f t="shared" si="32"/>
        <v/>
      </c>
      <c r="J268" s="184" t="str">
        <f t="shared" si="32"/>
        <v/>
      </c>
      <c r="K268" s="184" t="str">
        <f t="shared" si="32"/>
        <v/>
      </c>
      <c r="L268" s="184" t="str">
        <f t="shared" si="32"/>
        <v/>
      </c>
      <c r="M268" s="184" t="str">
        <f t="shared" si="32"/>
        <v/>
      </c>
      <c r="N268" s="184" t="str">
        <f t="shared" si="32"/>
        <v/>
      </c>
      <c r="O268" s="184" t="str">
        <f t="shared" si="32"/>
        <v/>
      </c>
      <c r="P268" s="184" t="str">
        <f t="shared" si="32"/>
        <v/>
      </c>
      <c r="Q268" s="184" t="str">
        <f t="shared" si="32"/>
        <v/>
      </c>
      <c r="R268" s="184" t="str">
        <f t="shared" si="32"/>
        <v/>
      </c>
      <c r="S268" s="184" t="str">
        <f t="shared" si="32"/>
        <v/>
      </c>
      <c r="T268" s="184" t="str">
        <f t="shared" si="32"/>
        <v/>
      </c>
      <c r="U268" s="184" t="str">
        <f t="shared" si="32"/>
        <v/>
      </c>
      <c r="V268" s="184" t="str">
        <f t="shared" si="32"/>
        <v/>
      </c>
      <c r="W268" s="184" t="str">
        <f t="shared" si="32"/>
        <v/>
      </c>
      <c r="X268" s="184" t="str">
        <f t="shared" si="32"/>
        <v/>
      </c>
      <c r="Y268" s="184" t="str">
        <f t="shared" si="32"/>
        <v/>
      </c>
      <c r="Z268" s="184" t="str">
        <f t="shared" si="32"/>
        <v/>
      </c>
      <c r="AA268" s="184" t="str">
        <f t="shared" si="32"/>
        <v/>
      </c>
      <c r="AB268" s="184" t="str">
        <f t="shared" si="32"/>
        <v/>
      </c>
      <c r="AC268" s="184" t="str">
        <f t="shared" si="32"/>
        <v/>
      </c>
      <c r="AD268" s="184" t="str">
        <f t="shared" si="32"/>
        <v/>
      </c>
      <c r="AE268" s="184" t="str">
        <f t="shared" si="32"/>
        <v/>
      </c>
      <c r="AF268" s="184" t="str">
        <f t="shared" si="32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33">IF(B236&lt;100,"",B236-620)</f>
        <v/>
      </c>
      <c r="C269" s="184" t="str">
        <f t="shared" si="33"/>
        <v/>
      </c>
      <c r="D269" s="184" t="str">
        <f t="shared" si="33"/>
        <v/>
      </c>
      <c r="E269" s="184" t="str">
        <f t="shared" si="33"/>
        <v/>
      </c>
      <c r="F269" s="184" t="str">
        <f t="shared" si="33"/>
        <v/>
      </c>
      <c r="G269" s="184" t="str">
        <f t="shared" si="33"/>
        <v/>
      </c>
      <c r="H269" s="184" t="str">
        <f t="shared" si="33"/>
        <v/>
      </c>
      <c r="I269" s="184" t="str">
        <f t="shared" si="33"/>
        <v/>
      </c>
      <c r="J269" s="184" t="str">
        <f t="shared" si="33"/>
        <v/>
      </c>
      <c r="K269" s="184" t="str">
        <f t="shared" si="33"/>
        <v/>
      </c>
      <c r="L269" s="184" t="str">
        <f t="shared" si="33"/>
        <v/>
      </c>
      <c r="M269" s="184" t="str">
        <f t="shared" si="33"/>
        <v/>
      </c>
      <c r="N269" s="184" t="str">
        <f t="shared" si="33"/>
        <v/>
      </c>
      <c r="O269" s="184" t="str">
        <f t="shared" si="33"/>
        <v/>
      </c>
      <c r="P269" s="184" t="str">
        <f t="shared" si="33"/>
        <v/>
      </c>
      <c r="Q269" s="184" t="str">
        <f t="shared" si="33"/>
        <v/>
      </c>
      <c r="R269" s="184" t="str">
        <f t="shared" si="33"/>
        <v/>
      </c>
      <c r="S269" s="184" t="str">
        <f t="shared" si="33"/>
        <v/>
      </c>
      <c r="T269" s="184" t="str">
        <f t="shared" si="33"/>
        <v/>
      </c>
      <c r="U269" s="184" t="str">
        <f t="shared" si="33"/>
        <v/>
      </c>
      <c r="V269" s="184" t="str">
        <f t="shared" si="33"/>
        <v/>
      </c>
      <c r="W269" s="184" t="str">
        <f t="shared" si="33"/>
        <v/>
      </c>
      <c r="X269" s="184" t="str">
        <f t="shared" si="33"/>
        <v/>
      </c>
      <c r="Y269" s="184" t="str">
        <f t="shared" si="33"/>
        <v/>
      </c>
      <c r="Z269" s="184" t="str">
        <f t="shared" si="33"/>
        <v/>
      </c>
      <c r="AA269" s="184" t="str">
        <f t="shared" si="33"/>
        <v/>
      </c>
      <c r="AB269" s="184" t="str">
        <f t="shared" si="33"/>
        <v/>
      </c>
      <c r="AC269" s="184" t="str">
        <f t="shared" si="33"/>
        <v/>
      </c>
      <c r="AD269" s="184" t="str">
        <f t="shared" si="33"/>
        <v/>
      </c>
      <c r="AE269" s="184" t="str">
        <f t="shared" si="33"/>
        <v/>
      </c>
      <c r="AF269" s="184" t="str">
        <f t="shared" si="33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34">IF(B237&lt;100,"",B237-330)</f>
        <v/>
      </c>
      <c r="C270" s="184" t="str">
        <f t="shared" si="34"/>
        <v/>
      </c>
      <c r="D270" s="184" t="str">
        <f t="shared" si="34"/>
        <v/>
      </c>
      <c r="E270" s="184" t="str">
        <f t="shared" si="34"/>
        <v/>
      </c>
      <c r="F270" s="184" t="str">
        <f t="shared" si="34"/>
        <v/>
      </c>
      <c r="G270" s="184" t="str">
        <f t="shared" si="34"/>
        <v/>
      </c>
      <c r="H270" s="184" t="str">
        <f t="shared" si="34"/>
        <v/>
      </c>
      <c r="I270" s="184" t="str">
        <f t="shared" si="34"/>
        <v/>
      </c>
      <c r="J270" s="184" t="str">
        <f t="shared" si="34"/>
        <v/>
      </c>
      <c r="K270" s="184" t="str">
        <f t="shared" si="34"/>
        <v/>
      </c>
      <c r="L270" s="184" t="str">
        <f t="shared" si="34"/>
        <v/>
      </c>
      <c r="M270" s="184" t="str">
        <f t="shared" si="34"/>
        <v/>
      </c>
      <c r="N270" s="184" t="str">
        <f t="shared" si="34"/>
        <v/>
      </c>
      <c r="O270" s="184" t="str">
        <f t="shared" si="34"/>
        <v/>
      </c>
      <c r="P270" s="184" t="str">
        <f t="shared" si="34"/>
        <v/>
      </c>
      <c r="Q270" s="184" t="str">
        <f t="shared" si="34"/>
        <v/>
      </c>
      <c r="R270" s="184" t="str">
        <f t="shared" si="34"/>
        <v/>
      </c>
      <c r="S270" s="184" t="str">
        <f t="shared" si="34"/>
        <v/>
      </c>
      <c r="T270" s="184" t="str">
        <f t="shared" si="34"/>
        <v/>
      </c>
      <c r="U270" s="184" t="str">
        <f t="shared" si="34"/>
        <v/>
      </c>
      <c r="V270" s="184" t="str">
        <f t="shared" si="34"/>
        <v/>
      </c>
      <c r="W270" s="184" t="str">
        <f t="shared" si="34"/>
        <v/>
      </c>
      <c r="X270" s="184" t="str">
        <f t="shared" si="34"/>
        <v/>
      </c>
      <c r="Y270" s="184" t="str">
        <f t="shared" si="34"/>
        <v/>
      </c>
      <c r="Z270" s="184" t="str">
        <f t="shared" si="34"/>
        <v/>
      </c>
      <c r="AA270" s="184" t="str">
        <f t="shared" si="34"/>
        <v/>
      </c>
      <c r="AB270" s="184" t="str">
        <f t="shared" si="34"/>
        <v/>
      </c>
      <c r="AC270" s="184" t="str">
        <f t="shared" si="34"/>
        <v/>
      </c>
      <c r="AD270" s="184" t="str">
        <f t="shared" si="34"/>
        <v/>
      </c>
      <c r="AE270" s="184" t="str">
        <f t="shared" si="34"/>
        <v/>
      </c>
      <c r="AF270" s="184" t="str">
        <f t="shared" si="34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35">IF(B238&lt;100,"",B238-1500)</f>
        <v/>
      </c>
      <c r="C271" s="184" t="str">
        <f t="shared" si="35"/>
        <v/>
      </c>
      <c r="D271" s="184" t="str">
        <f t="shared" si="35"/>
        <v/>
      </c>
      <c r="E271" s="184" t="str">
        <f t="shared" si="35"/>
        <v/>
      </c>
      <c r="F271" s="184" t="str">
        <f t="shared" si="35"/>
        <v/>
      </c>
      <c r="G271" s="184" t="str">
        <f t="shared" si="35"/>
        <v/>
      </c>
      <c r="H271" s="184" t="str">
        <f t="shared" si="35"/>
        <v/>
      </c>
      <c r="I271" s="184" t="str">
        <f t="shared" si="35"/>
        <v/>
      </c>
      <c r="J271" s="184" t="str">
        <f t="shared" si="35"/>
        <v/>
      </c>
      <c r="K271" s="184" t="str">
        <f t="shared" si="35"/>
        <v/>
      </c>
      <c r="L271" s="184" t="str">
        <f t="shared" si="35"/>
        <v/>
      </c>
      <c r="M271" s="184" t="str">
        <f t="shared" si="35"/>
        <v/>
      </c>
      <c r="N271" s="184" t="str">
        <f t="shared" si="35"/>
        <v/>
      </c>
      <c r="O271" s="184" t="str">
        <f t="shared" si="35"/>
        <v/>
      </c>
      <c r="P271" s="184" t="str">
        <f t="shared" si="35"/>
        <v/>
      </c>
      <c r="Q271" s="184" t="str">
        <f t="shared" si="35"/>
        <v/>
      </c>
      <c r="R271" s="184" t="str">
        <f t="shared" si="35"/>
        <v/>
      </c>
      <c r="S271" s="184" t="str">
        <f t="shared" si="35"/>
        <v/>
      </c>
      <c r="T271" s="184" t="str">
        <f t="shared" si="35"/>
        <v/>
      </c>
      <c r="U271" s="184" t="str">
        <f t="shared" si="35"/>
        <v/>
      </c>
      <c r="V271" s="184" t="str">
        <f t="shared" si="35"/>
        <v/>
      </c>
      <c r="W271" s="184" t="str">
        <f t="shared" si="35"/>
        <v/>
      </c>
      <c r="X271" s="184" t="str">
        <f t="shared" si="35"/>
        <v/>
      </c>
      <c r="Y271" s="184" t="str">
        <f t="shared" si="35"/>
        <v/>
      </c>
      <c r="Z271" s="184" t="str">
        <f t="shared" si="35"/>
        <v/>
      </c>
      <c r="AA271" s="184" t="str">
        <f t="shared" si="35"/>
        <v/>
      </c>
      <c r="AB271" s="184" t="str">
        <f t="shared" si="35"/>
        <v/>
      </c>
      <c r="AC271" s="184" t="str">
        <f t="shared" si="35"/>
        <v/>
      </c>
      <c r="AD271" s="184" t="str">
        <f t="shared" si="35"/>
        <v/>
      </c>
      <c r="AE271" s="184" t="str">
        <f t="shared" si="35"/>
        <v/>
      </c>
      <c r="AF271" s="184" t="str">
        <f t="shared" si="35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7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70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F109:AF109 F111:AF116">
    <cfRule type="expression" dxfId="8074" priority="466">
      <formula>B$9&gt;=20/24</formula>
    </cfRule>
    <cfRule type="expression" dxfId="8073" priority="467">
      <formula>AND(B$9&gt;=14/24,B$9&lt;20/24)</formula>
    </cfRule>
    <cfRule type="expression" dxfId="8072" priority="468">
      <formula>AND(B$9&gt;=8/24,B$9&lt;14/24)</formula>
    </cfRule>
    <cfRule type="expression" dxfId="8071" priority="469">
      <formula>B$9&lt;8/24</formula>
    </cfRule>
  </conditionalFormatting>
  <conditionalFormatting sqref="AL4:AL6">
    <cfRule type="iconSet" priority="465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8070" priority="464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8069" priority="463">
      <formula>$AH12=0</formula>
    </cfRule>
  </conditionalFormatting>
  <conditionalFormatting sqref="A114">
    <cfRule type="expression" dxfId="8068" priority="462">
      <formula>$AH114=0</formula>
    </cfRule>
  </conditionalFormatting>
  <conditionalFormatting sqref="AL42">
    <cfRule type="iconSet" priority="461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8067" priority="460">
      <formula>$AH45=0</formula>
    </cfRule>
  </conditionalFormatting>
  <conditionalFormatting sqref="A98">
    <cfRule type="expression" dxfId="8066" priority="459">
      <formula>$AH98=0</formula>
    </cfRule>
  </conditionalFormatting>
  <conditionalFormatting sqref="A18">
    <cfRule type="expression" dxfId="8065" priority="458">
      <formula>$AH18=0</formula>
    </cfRule>
  </conditionalFormatting>
  <conditionalFormatting sqref="A196:A201">
    <cfRule type="expression" dxfId="8064" priority="457">
      <formula>$AH196=0</formula>
    </cfRule>
  </conditionalFormatting>
  <conditionalFormatting sqref="A190:A195">
    <cfRule type="expression" dxfId="8063" priority="456">
      <formula>$AH190=0</formula>
    </cfRule>
  </conditionalFormatting>
  <conditionalFormatting sqref="A58">
    <cfRule type="expression" dxfId="8062" priority="455">
      <formula>$AH58=0</formula>
    </cfRule>
  </conditionalFormatting>
  <conditionalFormatting sqref="A94">
    <cfRule type="expression" dxfId="8061" priority="454">
      <formula>$AH94=0</formula>
    </cfRule>
  </conditionalFormatting>
  <conditionalFormatting sqref="AF99 E99:X99">
    <cfRule type="expression" dxfId="8060" priority="450">
      <formula>E$9&gt;=20/24</formula>
    </cfRule>
    <cfRule type="expression" dxfId="8059" priority="451">
      <formula>AND(E$9&gt;=14/24,E$9&lt;20/24)</formula>
    </cfRule>
    <cfRule type="expression" dxfId="8058" priority="452">
      <formula>AND(E$9&gt;=8/24,E$9&lt;14/24)</formula>
    </cfRule>
    <cfRule type="expression" dxfId="8057" priority="453">
      <formula>E$9&lt;8/24</formula>
    </cfRule>
  </conditionalFormatting>
  <conditionalFormatting sqref="AL43">
    <cfRule type="iconSet" priority="44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056" priority="472">
      <formula>C$9&gt;=20/24</formula>
    </cfRule>
    <cfRule type="expression" dxfId="8055" priority="473">
      <formula>AND(C$9&gt;=14/24,C$9&lt;20/24)</formula>
    </cfRule>
    <cfRule type="expression" dxfId="8054" priority="474">
      <formula>AND(C$9&gt;=8/24,C$9&lt;14/24)</formula>
    </cfRule>
    <cfRule type="expression" dxfId="8053" priority="475">
      <formula>C$9&lt;8/24</formula>
    </cfRule>
  </conditionalFormatting>
  <conditionalFormatting sqref="A233">
    <cfRule type="expression" dxfId="8052" priority="476">
      <formula>$AH233=0</formula>
    </cfRule>
  </conditionalFormatting>
  <conditionalFormatting sqref="AG245">
    <cfRule type="expression" dxfId="8051" priority="477">
      <formula>B$9&gt;=20/24</formula>
    </cfRule>
    <cfRule type="expression" dxfId="8050" priority="478">
      <formula>AND(B$9&gt;=14/24,B$9&lt;20/24)</formula>
    </cfRule>
    <cfRule type="expression" dxfId="8049" priority="479">
      <formula>AND(B$9&gt;=8/24,B$9&lt;14/24)</formula>
    </cfRule>
    <cfRule type="expression" dxfId="8048" priority="480">
      <formula>B$9&lt;8/24</formula>
    </cfRule>
  </conditionalFormatting>
  <conditionalFormatting sqref="S8">
    <cfRule type="expression" dxfId="8047" priority="445">
      <formula>U$9&gt;=20/24</formula>
    </cfRule>
    <cfRule type="expression" dxfId="8046" priority="446">
      <formula>AND(U$9&gt;=14/24,U$9&lt;20/24)</formula>
    </cfRule>
    <cfRule type="expression" dxfId="8045" priority="447">
      <formula>AND(U$9&gt;=8/24,U$9&lt;14/24)</formula>
    </cfRule>
    <cfRule type="expression" dxfId="8044" priority="448">
      <formula>U$9&lt;8/24</formula>
    </cfRule>
  </conditionalFormatting>
  <conditionalFormatting sqref="AB8">
    <cfRule type="expression" dxfId="8043" priority="441">
      <formula>AD$9&gt;=20/24</formula>
    </cfRule>
    <cfRule type="expression" dxfId="8042" priority="442">
      <formula>AND(AD$9&gt;=14/24,AD$9&lt;20/24)</formula>
    </cfRule>
    <cfRule type="expression" dxfId="8041" priority="443">
      <formula>AND(AD$9&gt;=8/24,AD$9&lt;14/24)</formula>
    </cfRule>
    <cfRule type="expression" dxfId="8040" priority="444">
      <formula>AD$9&lt;8/24</formula>
    </cfRule>
  </conditionalFormatting>
  <conditionalFormatting sqref="AH245:AX245">
    <cfRule type="expression" dxfId="8039" priority="481">
      <formula>AG$9&gt;=20/24</formula>
    </cfRule>
    <cfRule type="expression" dxfId="8038" priority="482">
      <formula>AND(AG$9&gt;=14/24,AG$9&lt;20/24)</formula>
    </cfRule>
    <cfRule type="expression" dxfId="8037" priority="483">
      <formula>AND(AG$9&gt;=8/24,AG$9&lt;14/24)</formula>
    </cfRule>
    <cfRule type="expression" dxfId="8036" priority="484">
      <formula>AG$9&lt;8/24</formula>
    </cfRule>
  </conditionalFormatting>
  <conditionalFormatting sqref="T245">
    <cfRule type="expression" dxfId="8035" priority="485">
      <formula>AX$9&gt;=20/24</formula>
    </cfRule>
    <cfRule type="expression" dxfId="8034" priority="486">
      <formula>AND(AX$9&gt;=14/24,AX$9&lt;20/24)</formula>
    </cfRule>
    <cfRule type="expression" dxfId="8033" priority="487">
      <formula>AND(AX$9&gt;=8/24,AX$9&lt;14/24)</formula>
    </cfRule>
    <cfRule type="expression" dxfId="8032" priority="488">
      <formula>AX$9&lt;8/24</formula>
    </cfRule>
  </conditionalFormatting>
  <conditionalFormatting sqref="A115:A116">
    <cfRule type="expression" dxfId="8031" priority="440">
      <formula>$AH115=0</formula>
    </cfRule>
  </conditionalFormatting>
  <conditionalFormatting sqref="M54:Y58 H71:AF71 AB54:AF56">
    <cfRule type="expression" dxfId="8030" priority="436">
      <formula>H$9&gt;=20/24</formula>
    </cfRule>
    <cfRule type="expression" dxfId="8029" priority="437">
      <formula>AND(H$9&gt;=14/24,H$9&lt;20/24)</formula>
    </cfRule>
    <cfRule type="expression" dxfId="8028" priority="438">
      <formula>AND(H$9&gt;=8/24,H$9&lt;14/24)</formula>
    </cfRule>
    <cfRule type="expression" dxfId="8027" priority="439">
      <formula>H$9&lt;8/24</formula>
    </cfRule>
  </conditionalFormatting>
  <conditionalFormatting sqref="M53:Y53 AB53:AF53">
    <cfRule type="expression" dxfId="8026" priority="432">
      <formula>M$9&gt;=20/24</formula>
    </cfRule>
    <cfRule type="expression" dxfId="8025" priority="433">
      <formula>AND(M$9&gt;=14/24,M$9&lt;20/24)</formula>
    </cfRule>
    <cfRule type="expression" dxfId="8024" priority="434">
      <formula>AND(M$9&gt;=8/24,M$9&lt;14/24)</formula>
    </cfRule>
    <cfRule type="expression" dxfId="8023" priority="435">
      <formula>M$9&lt;8/24</formula>
    </cfRule>
  </conditionalFormatting>
  <conditionalFormatting sqref="M53:Y58 AB53:AF56">
    <cfRule type="expression" dxfId="8022" priority="431">
      <formula>M53&gt;$AG53</formula>
    </cfRule>
  </conditionalFormatting>
  <conditionalFormatting sqref="D86:AF86 X96:AF96 AF100:AF104 X47:AF47 M100:X106 H72:Y73 Z72:AF74 AB67:AF69">
    <cfRule type="expression" dxfId="8021" priority="427">
      <formula>D$9&gt;=20/24</formula>
    </cfRule>
    <cfRule type="expression" dxfId="8020" priority="428">
      <formula>AND(D$9&gt;=14/24,D$9&lt;20/24)</formula>
    </cfRule>
    <cfRule type="expression" dxfId="8019" priority="429">
      <formula>AND(D$9&gt;=8/24,D$9&lt;14/24)</formula>
    </cfRule>
    <cfRule type="expression" dxfId="8018" priority="430">
      <formula>D$9&lt;8/24</formula>
    </cfRule>
  </conditionalFormatting>
  <conditionalFormatting sqref="X47:AF47 AB67:AF69">
    <cfRule type="expression" dxfId="8017" priority="426">
      <formula>X47&gt;$AG47</formula>
    </cfRule>
  </conditionalFormatting>
  <conditionalFormatting sqref="Z53:AA58 AB57:AF58">
    <cfRule type="expression" dxfId="8016" priority="422">
      <formula>Z$9&gt;=20/24</formula>
    </cfRule>
    <cfRule type="expression" dxfId="8015" priority="423">
      <formula>AND(Z$9&gt;=14/24,Z$9&lt;20/24)</formula>
    </cfRule>
    <cfRule type="expression" dxfId="8014" priority="424">
      <formula>AND(Z$9&gt;=8/24,Z$9&lt;14/24)</formula>
    </cfRule>
    <cfRule type="expression" dxfId="8013" priority="425">
      <formula>Z$9&lt;8/24</formula>
    </cfRule>
  </conditionalFormatting>
  <conditionalFormatting sqref="Z53:AA58 AB57:AF58">
    <cfRule type="expression" dxfId="8012" priority="421">
      <formula>Z53&gt;$AG53</formula>
    </cfRule>
  </conditionalFormatting>
  <conditionalFormatting sqref="C97:AF97 D88:AF88">
    <cfRule type="expression" dxfId="8011" priority="417">
      <formula>C$9&gt;=20/24</formula>
    </cfRule>
    <cfRule type="expression" dxfId="8010" priority="418">
      <formula>AND(C$9&gt;=14/24,C$9&lt;20/24)</formula>
    </cfRule>
    <cfRule type="expression" dxfId="8009" priority="419">
      <formula>AND(C$9&gt;=8/24,C$9&lt;14/24)</formula>
    </cfRule>
    <cfRule type="expression" dxfId="8008" priority="420">
      <formula>C$9&lt;8/24</formula>
    </cfRule>
  </conditionalFormatting>
  <conditionalFormatting sqref="T47:W47">
    <cfRule type="expression" dxfId="8007" priority="413">
      <formula>T$9&gt;=20/24</formula>
    </cfRule>
    <cfRule type="expression" dxfId="8006" priority="414">
      <formula>AND(T$9&gt;=14/24,T$9&lt;20/24)</formula>
    </cfRule>
    <cfRule type="expression" dxfId="8005" priority="415">
      <formula>AND(T$9&gt;=8/24,T$9&lt;14/24)</formula>
    </cfRule>
    <cfRule type="expression" dxfId="8004" priority="416">
      <formula>T$9&lt;8/24</formula>
    </cfRule>
  </conditionalFormatting>
  <conditionalFormatting sqref="T47:W47">
    <cfRule type="expression" dxfId="8003" priority="412">
      <formula>T47&gt;$AG47</formula>
    </cfRule>
  </conditionalFormatting>
  <conditionalFormatting sqref="J54:L55">
    <cfRule type="expression" dxfId="8002" priority="408">
      <formula>J$9&gt;=20/24</formula>
    </cfRule>
    <cfRule type="expression" dxfId="8001" priority="409">
      <formula>AND(J$9&gt;=14/24,J$9&lt;20/24)</formula>
    </cfRule>
    <cfRule type="expression" dxfId="8000" priority="410">
      <formula>AND(J$9&gt;=8/24,J$9&lt;14/24)</formula>
    </cfRule>
    <cfRule type="expression" dxfId="7999" priority="411">
      <formula>J$9&lt;8/24</formula>
    </cfRule>
  </conditionalFormatting>
  <conditionalFormatting sqref="H53:L53">
    <cfRule type="expression" dxfId="7998" priority="404">
      <formula>H$9&gt;=20/24</formula>
    </cfRule>
    <cfRule type="expression" dxfId="7997" priority="405">
      <formula>AND(H$9&gt;=14/24,H$9&lt;20/24)</formula>
    </cfRule>
    <cfRule type="expression" dxfId="7996" priority="406">
      <formula>AND(H$9&gt;=8/24,H$9&lt;14/24)</formula>
    </cfRule>
    <cfRule type="expression" dxfId="7995" priority="407">
      <formula>H$9&lt;8/24</formula>
    </cfRule>
  </conditionalFormatting>
  <conditionalFormatting sqref="J53:L55 H53:I53">
    <cfRule type="expression" dxfId="7994" priority="403">
      <formula>H53&gt;$AG53</formula>
    </cfRule>
  </conditionalFormatting>
  <conditionalFormatting sqref="AG70 AG87 G100:L106 Q67:AA69">
    <cfRule type="expression" dxfId="7993" priority="399">
      <formula>G$9&gt;=20/24</formula>
    </cfRule>
    <cfRule type="expression" dxfId="7992" priority="400">
      <formula>AND(G$9&gt;=14/24,G$9&lt;20/24)</formula>
    </cfRule>
    <cfRule type="expression" dxfId="7991" priority="401">
      <formula>AND(G$9&gt;=8/24,G$9&lt;14/24)</formula>
    </cfRule>
    <cfRule type="expression" dxfId="7990" priority="402">
      <formula>G$9&lt;8/24</formula>
    </cfRule>
  </conditionalFormatting>
  <conditionalFormatting sqref="AG48 AG66 AG70 Q67:AA69">
    <cfRule type="expression" dxfId="7989" priority="398">
      <formula>Q48&gt;$AG48</formula>
    </cfRule>
  </conditionalFormatting>
  <conditionalFormatting sqref="A43">
    <cfRule type="expression" dxfId="7988" priority="392">
      <formula>$AH43=0</formula>
    </cfRule>
  </conditionalFormatting>
  <conditionalFormatting sqref="X91:AF95">
    <cfRule type="expression" dxfId="7987" priority="388">
      <formula>X$9&gt;=20/24</formula>
    </cfRule>
    <cfRule type="expression" dxfId="7986" priority="389">
      <formula>AND(X$9&gt;=14/24,X$9&lt;20/24)</formula>
    </cfRule>
    <cfRule type="expression" dxfId="7985" priority="390">
      <formula>AND(X$9&gt;=8/24,X$9&lt;14/24)</formula>
    </cfRule>
    <cfRule type="expression" dxfId="7984" priority="391">
      <formula>X$9&lt;8/24</formula>
    </cfRule>
  </conditionalFormatting>
  <conditionalFormatting sqref="AL45 AL41 AL22:AL32 AL38:AL39 AL7:AL15 AL17:AL20 AL34:AL36">
    <cfRule type="iconSet" priority="489">
      <iconSet iconSet="3TrafficLights2" reverse="1">
        <cfvo type="percent" val="0"/>
        <cfvo type="num" val="1"/>
        <cfvo type="num" val="1"/>
      </iconSet>
    </cfRule>
  </conditionalFormatting>
  <conditionalFormatting sqref="F49:N49 I50:N51 O49:AF51">
    <cfRule type="expression" dxfId="7983" priority="384">
      <formula>F$9&gt;=20/24</formula>
    </cfRule>
    <cfRule type="expression" dxfId="7982" priority="385">
      <formula>AND(F$9&gt;=14/24,F$9&lt;20/24)</formula>
    </cfRule>
    <cfRule type="expression" dxfId="7981" priority="386">
      <formula>AND(F$9&gt;=8/24,F$9&lt;14/24)</formula>
    </cfRule>
    <cfRule type="expression" dxfId="7980" priority="387">
      <formula>F$9&lt;8/24</formula>
    </cfRule>
  </conditionalFormatting>
  <conditionalFormatting sqref="F49:N49 I50:N51 O49:AF51">
    <cfRule type="expression" dxfId="7979" priority="383">
      <formula>F49&gt;$AG49</formula>
    </cfRule>
  </conditionalFormatting>
  <conditionalFormatting sqref="AG52">
    <cfRule type="expression" dxfId="7978" priority="379">
      <formula>AG$9&gt;=20/24</formula>
    </cfRule>
    <cfRule type="expression" dxfId="7977" priority="380">
      <formula>AND(AG$9&gt;=14/24,AG$9&lt;20/24)</formula>
    </cfRule>
    <cfRule type="expression" dxfId="7976" priority="381">
      <formula>AND(AG$9&gt;=8/24,AG$9&lt;14/24)</formula>
    </cfRule>
    <cfRule type="expression" dxfId="7975" priority="382">
      <formula>AG$9&lt;8/24</formula>
    </cfRule>
  </conditionalFormatting>
  <conditionalFormatting sqref="AG52">
    <cfRule type="expression" dxfId="7974" priority="378">
      <formula>AG52&gt;$AG52</formula>
    </cfRule>
  </conditionalFormatting>
  <conditionalFormatting sqref="C107:AF107">
    <cfRule type="expression" dxfId="7973" priority="374">
      <formula>C$9&gt;=20/24</formula>
    </cfRule>
    <cfRule type="expression" dxfId="7972" priority="375">
      <formula>AND(C$9&gt;=14/24,C$9&lt;20/24)</formula>
    </cfRule>
    <cfRule type="expression" dxfId="7971" priority="376">
      <formula>AND(C$9&gt;=8/24,C$9&lt;14/24)</formula>
    </cfRule>
    <cfRule type="expression" dxfId="7970" priority="377">
      <formula>C$9&lt;8/24</formula>
    </cfRule>
  </conditionalFormatting>
  <conditionalFormatting sqref="AL40">
    <cfRule type="iconSet" priority="373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7969" priority="372">
      <formula>$AH40=0</formula>
    </cfRule>
  </conditionalFormatting>
  <conditionalFormatting sqref="A90">
    <cfRule type="expression" dxfId="7968" priority="370">
      <formula>$AH90=0</formula>
    </cfRule>
  </conditionalFormatting>
  <conditionalFormatting sqref="A87">
    <cfRule type="expression" dxfId="7967" priority="371">
      <formula>$AH87=0</formula>
    </cfRule>
  </conditionalFormatting>
  <conditionalFormatting sqref="F110:AF110">
    <cfRule type="expression" dxfId="7966" priority="366">
      <formula>F$9&gt;=20/24</formula>
    </cfRule>
    <cfRule type="expression" dxfId="7965" priority="367">
      <formula>AND(F$9&gt;=14/24,F$9&lt;20/24)</formula>
    </cfRule>
    <cfRule type="expression" dxfId="7964" priority="368">
      <formula>AND(F$9&gt;=8/24,F$9&lt;14/24)</formula>
    </cfRule>
    <cfRule type="expression" dxfId="7963" priority="369">
      <formula>F$9&lt;8/24</formula>
    </cfRule>
  </conditionalFormatting>
  <conditionalFormatting sqref="A110">
    <cfRule type="expression" dxfId="7962" priority="365">
      <formula>$AH110=0</formula>
    </cfRule>
  </conditionalFormatting>
  <conditionalFormatting sqref="A21">
    <cfRule type="expression" dxfId="7961" priority="363">
      <formula>$AH21=0</formula>
    </cfRule>
  </conditionalFormatting>
  <conditionalFormatting sqref="AL21">
    <cfRule type="iconSet" priority="364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7960" priority="361">
      <formula>$AH37=0</formula>
    </cfRule>
  </conditionalFormatting>
  <conditionalFormatting sqref="AL37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Y99:AE99">
    <cfRule type="expression" dxfId="7959" priority="357">
      <formula>Y$9&gt;=20/24</formula>
    </cfRule>
    <cfRule type="expression" dxfId="7958" priority="358">
      <formula>AND(Y$9&gt;=14/24,Y$9&lt;20/24)</formula>
    </cfRule>
    <cfRule type="expression" dxfId="7957" priority="359">
      <formula>AND(Y$9&gt;=8/24,Y$9&lt;14/24)</formula>
    </cfRule>
    <cfRule type="expression" dxfId="7956" priority="360">
      <formula>Y$9&lt;8/24</formula>
    </cfRule>
  </conditionalFormatting>
  <conditionalFormatting sqref="Y100:AE106 AF105:AF106">
    <cfRule type="expression" dxfId="7955" priority="353">
      <formula>Y$9&gt;=20/24</formula>
    </cfRule>
    <cfRule type="expression" dxfId="7954" priority="354">
      <formula>AND(Y$9&gt;=14/24,Y$9&lt;20/24)</formula>
    </cfRule>
    <cfRule type="expression" dxfId="7953" priority="355">
      <formula>AND(Y$9&gt;=8/24,Y$9&lt;14/24)</formula>
    </cfRule>
    <cfRule type="expression" dxfId="7952" priority="356">
      <formula>Y$9&lt;8/24</formula>
    </cfRule>
  </conditionalFormatting>
  <conditionalFormatting sqref="C109:E109 C111:E116 Z34:AF43 Z17:AF32">
    <cfRule type="expression" dxfId="7951" priority="349">
      <formula>C$9&gt;=20/24</formula>
    </cfRule>
    <cfRule type="expression" dxfId="7950" priority="350">
      <formula>AND(C$9&gt;=14/24,C$9&lt;20/24)</formula>
    </cfRule>
    <cfRule type="expression" dxfId="7949" priority="351">
      <formula>AND(C$9&gt;=8/24,C$9&lt;14/24)</formula>
    </cfRule>
    <cfRule type="expression" dxfId="7948" priority="352">
      <formula>C$9&lt;8/24</formula>
    </cfRule>
  </conditionalFormatting>
  <conditionalFormatting sqref="C47:S47">
    <cfRule type="expression" dxfId="7947" priority="345">
      <formula>C$9&gt;=20/24</formula>
    </cfRule>
    <cfRule type="expression" dxfId="7946" priority="346">
      <formula>AND(C$9&gt;=14/24,C$9&lt;20/24)</formula>
    </cfRule>
    <cfRule type="expression" dxfId="7945" priority="347">
      <formula>AND(C$9&gt;=8/24,C$9&lt;14/24)</formula>
    </cfRule>
    <cfRule type="expression" dxfId="7944" priority="348">
      <formula>C$9&lt;8/24</formula>
    </cfRule>
  </conditionalFormatting>
  <conditionalFormatting sqref="C47:S47 Z34:AF43 Z17:AF32">
    <cfRule type="expression" dxfId="7943" priority="344">
      <formula>C17&gt;$AG17</formula>
    </cfRule>
  </conditionalFormatting>
  <conditionalFormatting sqref="C99:D99">
    <cfRule type="expression" dxfId="7942" priority="340">
      <formula>C$9&gt;=20/24</formula>
    </cfRule>
    <cfRule type="expression" dxfId="7941" priority="341">
      <formula>AND(C$9&gt;=14/24,C$9&lt;20/24)</formula>
    </cfRule>
    <cfRule type="expression" dxfId="7940" priority="342">
      <formula>AND(C$9&gt;=8/24,C$9&lt;14/24)</formula>
    </cfRule>
    <cfRule type="expression" dxfId="7939" priority="343">
      <formula>C$9&lt;8/24</formula>
    </cfRule>
  </conditionalFormatting>
  <conditionalFormatting sqref="C86 C96:W96 C83:AF85 D100:F104 M67:P69 I74:Y76 Z75:AF76">
    <cfRule type="expression" dxfId="7938" priority="336">
      <formula>C$9&gt;=20/24</formula>
    </cfRule>
    <cfRule type="expression" dxfId="7937" priority="337">
      <formula>AND(C$9&gt;=14/24,C$9&lt;20/24)</formula>
    </cfRule>
    <cfRule type="expression" dxfId="7936" priority="338">
      <formula>AND(C$9&gt;=8/24,C$9&lt;14/24)</formula>
    </cfRule>
    <cfRule type="expression" dxfId="7935" priority="339">
      <formula>C$9&lt;8/24</formula>
    </cfRule>
  </conditionalFormatting>
  <conditionalFormatting sqref="J56:L57 M67:P69">
    <cfRule type="expression" dxfId="7934" priority="335">
      <formula>J56&gt;$AG56</formula>
    </cfRule>
  </conditionalFormatting>
  <conditionalFormatting sqref="J58:L58">
    <cfRule type="expression" dxfId="7933" priority="331">
      <formula>J$9&gt;=20/24</formula>
    </cfRule>
    <cfRule type="expression" dxfId="7932" priority="332">
      <formula>AND(J$9&gt;=14/24,J$9&lt;20/24)</formula>
    </cfRule>
    <cfRule type="expression" dxfId="7931" priority="333">
      <formula>AND(J$9&gt;=8/24,J$9&lt;14/24)</formula>
    </cfRule>
    <cfRule type="expression" dxfId="7930" priority="334">
      <formula>J$9&lt;8/24</formula>
    </cfRule>
  </conditionalFormatting>
  <conditionalFormatting sqref="J58:L58">
    <cfRule type="expression" dxfId="7929" priority="330">
      <formula>J58&gt;$AG58</formula>
    </cfRule>
  </conditionalFormatting>
  <conditionalFormatting sqref="D71:G71">
    <cfRule type="expression" dxfId="7928" priority="259">
      <formula>D$9&gt;=20/24</formula>
    </cfRule>
    <cfRule type="expression" dxfId="7927" priority="260">
      <formula>AND(D$9&gt;=14/24,D$9&lt;20/24)</formula>
    </cfRule>
    <cfRule type="expression" dxfId="7926" priority="261">
      <formula>AND(D$9&gt;=8/24,D$9&lt;14/24)</formula>
    </cfRule>
    <cfRule type="expression" dxfId="7925" priority="262">
      <formula>D$9&lt;8/24</formula>
    </cfRule>
  </conditionalFormatting>
  <conditionalFormatting sqref="C87:AF87 C89:AF89 C98:AF98 C70:AF70">
    <cfRule type="expression" dxfId="7924" priority="326">
      <formula>C$9&gt;=20/24</formula>
    </cfRule>
    <cfRule type="expression" dxfId="7923" priority="327">
      <formula>AND(C$9&gt;=14/24,C$9&lt;20/24)</formula>
    </cfRule>
    <cfRule type="expression" dxfId="7922" priority="328">
      <formula>AND(C$9&gt;=8/24,C$9&lt;14/24)</formula>
    </cfRule>
    <cfRule type="expression" dxfId="7921" priority="329">
      <formula>C$9&lt;8/24</formula>
    </cfRule>
  </conditionalFormatting>
  <conditionalFormatting sqref="C70:AF70 C65:AF66 C48:AF48">
    <cfRule type="expression" dxfId="7920" priority="325">
      <formula>C48&gt;$AG48</formula>
    </cfRule>
  </conditionalFormatting>
  <conditionalFormatting sqref="C82:AF82">
    <cfRule type="expression" dxfId="7919" priority="321">
      <formula>C$9&gt;=20/24</formula>
    </cfRule>
    <cfRule type="expression" dxfId="7918" priority="322">
      <formula>AND(C$9&gt;=14/24,C$9&lt;20/24)</formula>
    </cfRule>
    <cfRule type="expression" dxfId="7917" priority="323">
      <formula>AND(C$9&gt;=8/24,C$9&lt;14/24)</formula>
    </cfRule>
    <cfRule type="expression" dxfId="7916" priority="324">
      <formula>C$9&lt;8/24</formula>
    </cfRule>
  </conditionalFormatting>
  <conditionalFormatting sqref="C91:W95">
    <cfRule type="expression" dxfId="7915" priority="317">
      <formula>C$9&gt;=20/24</formula>
    </cfRule>
    <cfRule type="expression" dxfId="7914" priority="318">
      <formula>AND(C$9&gt;=14/24,C$9&lt;20/24)</formula>
    </cfRule>
    <cfRule type="expression" dxfId="7913" priority="319">
      <formula>AND(C$9&gt;=8/24,C$9&lt;14/24)</formula>
    </cfRule>
    <cfRule type="expression" dxfId="7912" priority="320">
      <formula>C$9&lt;8/24</formula>
    </cfRule>
  </conditionalFormatting>
  <conditionalFormatting sqref="C52:AF52">
    <cfRule type="expression" dxfId="7911" priority="313">
      <formula>C$9&gt;=20/24</formula>
    </cfRule>
    <cfRule type="expression" dxfId="7910" priority="314">
      <formula>AND(C$9&gt;=14/24,C$9&lt;20/24)</formula>
    </cfRule>
    <cfRule type="expression" dxfId="7909" priority="315">
      <formula>AND(C$9&gt;=8/24,C$9&lt;14/24)</formula>
    </cfRule>
    <cfRule type="expression" dxfId="7908" priority="316">
      <formula>C$9&lt;8/24</formula>
    </cfRule>
  </conditionalFormatting>
  <conditionalFormatting sqref="C52:AF52">
    <cfRule type="expression" dxfId="7907" priority="312">
      <formula>C52&gt;$AG52</formula>
    </cfRule>
  </conditionalFormatting>
  <conditionalFormatting sqref="C49:E49">
    <cfRule type="expression" dxfId="7906" priority="227">
      <formula>C$9&gt;=20/24</formula>
    </cfRule>
    <cfRule type="expression" dxfId="7905" priority="228">
      <formula>AND(C$9&gt;=14/24,C$9&lt;20/24)</formula>
    </cfRule>
    <cfRule type="expression" dxfId="7904" priority="229">
      <formula>AND(C$9&gt;=8/24,C$9&lt;14/24)</formula>
    </cfRule>
    <cfRule type="expression" dxfId="7903" priority="230">
      <formula>C$9&lt;8/24</formula>
    </cfRule>
  </conditionalFormatting>
  <conditionalFormatting sqref="C110:E110">
    <cfRule type="expression" dxfId="7902" priority="304">
      <formula>C$9&gt;=20/24</formula>
    </cfRule>
    <cfRule type="expression" dxfId="7901" priority="305">
      <formula>AND(C$9&gt;=14/24,C$9&lt;20/24)</formula>
    </cfRule>
    <cfRule type="expression" dxfId="7900" priority="306">
      <formula>AND(C$9&gt;=8/24,C$9&lt;14/24)</formula>
    </cfRule>
    <cfRule type="expression" dxfId="7899" priority="307">
      <formula>C$9&lt;8/24</formula>
    </cfRule>
  </conditionalFormatting>
  <conditionalFormatting sqref="J59:AF64">
    <cfRule type="expression" dxfId="7898" priority="300">
      <formula>J$9&gt;=20/24</formula>
    </cfRule>
    <cfRule type="expression" dxfId="7897" priority="301">
      <formula>AND(J$9&gt;=14/24,J$9&lt;20/24)</formula>
    </cfRule>
    <cfRule type="expression" dxfId="7896" priority="302">
      <formula>AND(J$9&gt;=8/24,J$9&lt;14/24)</formula>
    </cfRule>
    <cfRule type="expression" dxfId="7895" priority="303">
      <formula>J$9&lt;8/24</formula>
    </cfRule>
  </conditionalFormatting>
  <conditionalFormatting sqref="J59:AF64">
    <cfRule type="expression" dxfId="7894" priority="299">
      <formula>J59&gt;$AG59</formula>
    </cfRule>
  </conditionalFormatting>
  <conditionalFormatting sqref="Z45:AF45 Z13:AF15">
    <cfRule type="expression" dxfId="7893" priority="298">
      <formula>Z13&gt;$AG13</formula>
    </cfRule>
  </conditionalFormatting>
  <conditionalFormatting sqref="Z12:AF12">
    <cfRule type="expression" dxfId="7892" priority="294">
      <formula>Z$9&gt;=20/24</formula>
    </cfRule>
    <cfRule type="expression" dxfId="7891" priority="295">
      <formula>AND(Z$9&gt;=14/24,Z$9&lt;20/24)</formula>
    </cfRule>
    <cfRule type="expression" dxfId="7890" priority="296">
      <formula>AND(Z$9&gt;=8/24,Z$9&lt;14/24)</formula>
    </cfRule>
    <cfRule type="expression" dxfId="7889" priority="297">
      <formula>Z$9&lt;8/24</formula>
    </cfRule>
  </conditionalFormatting>
  <conditionalFormatting sqref="Z12:AF12">
    <cfRule type="expression" dxfId="7888" priority="293">
      <formula>Z12&gt;$AG12</formula>
    </cfRule>
  </conditionalFormatting>
  <conditionalFormatting sqref="Z13:AF15">
    <cfRule type="expression" dxfId="7887" priority="289">
      <formula>Z$9&gt;=20/24</formula>
    </cfRule>
    <cfRule type="expression" dxfId="7886" priority="290">
      <formula>AND(Z$9&gt;=14/24,Z$9&lt;20/24)</formula>
    </cfRule>
    <cfRule type="expression" dxfId="7885" priority="291">
      <formula>AND(Z$9&gt;=8/24,Z$9&lt;14/24)</formula>
    </cfRule>
    <cfRule type="expression" dxfId="7884" priority="292">
      <formula>Z$9&lt;8/24</formula>
    </cfRule>
  </conditionalFormatting>
  <conditionalFormatting sqref="Z45:AF45">
    <cfRule type="expression" dxfId="7883" priority="285">
      <formula>Z$9&gt;=20/24</formula>
    </cfRule>
    <cfRule type="expression" dxfId="7882" priority="286">
      <formula>AND(Z$9&gt;=14/24,Z$9&lt;20/24)</formula>
    </cfRule>
    <cfRule type="expression" dxfId="7881" priority="287">
      <formula>AND(Z$9&gt;=8/24,Z$9&lt;14/24)</formula>
    </cfRule>
    <cfRule type="expression" dxfId="7880" priority="288">
      <formula>Z$9&lt;8/24</formula>
    </cfRule>
  </conditionalFormatting>
  <conditionalFormatting sqref="H81:P81 I77:R77 I78:P80 Q78:R81 S77:AF81">
    <cfRule type="expression" dxfId="7879" priority="281">
      <formula>H$9&gt;=20/24</formula>
    </cfRule>
    <cfRule type="expression" dxfId="7878" priority="282">
      <formula>AND(H$9&gt;=14/24,H$9&lt;20/24)</formula>
    </cfRule>
    <cfRule type="expression" dxfId="7877" priority="283">
      <formula>AND(H$9&gt;=8/24,H$9&lt;14/24)</formula>
    </cfRule>
    <cfRule type="expression" dxfId="7876" priority="284">
      <formula>H$9&lt;8/24</formula>
    </cfRule>
  </conditionalFormatting>
  <conditionalFormatting sqref="AL78:AN78 AL84:AN84 AN79:AN80">
    <cfRule type="expression" dxfId="7875" priority="277">
      <formula>AL$9&gt;=20/24</formula>
    </cfRule>
    <cfRule type="expression" dxfId="7874" priority="278">
      <formula>AND(AL$9&gt;=14/24,AL$9&lt;20/24)</formula>
    </cfRule>
    <cfRule type="expression" dxfId="7873" priority="279">
      <formula>AND(AL$9&gt;=8/24,AL$9&lt;14/24)</formula>
    </cfRule>
    <cfRule type="expression" dxfId="7872" priority="280">
      <formula>AL$9&lt;8/24</formula>
    </cfRule>
  </conditionalFormatting>
  <conditionalFormatting sqref="AN81:AN82">
    <cfRule type="expression" dxfId="7871" priority="273">
      <formula>AN$9&gt;=20/24</formula>
    </cfRule>
    <cfRule type="expression" dxfId="7870" priority="274">
      <formula>AND(AN$9&gt;=14/24,AN$9&lt;20/24)</formula>
    </cfRule>
    <cfRule type="expression" dxfId="7869" priority="275">
      <formula>AND(AN$9&gt;=8/24,AN$9&lt;14/24)</formula>
    </cfRule>
    <cfRule type="expression" dxfId="7868" priority="276">
      <formula>AN$9&lt;8/24</formula>
    </cfRule>
  </conditionalFormatting>
  <conditionalFormatting sqref="AL79:AM83">
    <cfRule type="expression" dxfId="7867" priority="490">
      <formula>AJ$9&gt;=20/24</formula>
    </cfRule>
    <cfRule type="expression" dxfId="7866" priority="491">
      <formula>AND(AJ$9&gt;=14/24,AJ$9&lt;20/24)</formula>
    </cfRule>
    <cfRule type="expression" dxfId="7865" priority="492">
      <formula>AND(AJ$9&gt;=8/24,AJ$9&lt;14/24)</formula>
    </cfRule>
    <cfRule type="expression" dxfId="7864" priority="493">
      <formula>AJ$9&lt;8/24</formula>
    </cfRule>
  </conditionalFormatting>
  <conditionalFormatting sqref="A117">
    <cfRule type="expression" dxfId="7863" priority="272">
      <formula>$AH117=0</formula>
    </cfRule>
  </conditionalFormatting>
  <conditionalFormatting sqref="D72:G73">
    <cfRule type="expression" dxfId="7862" priority="250">
      <formula>D$9&gt;=20/24</formula>
    </cfRule>
    <cfRule type="expression" dxfId="7861" priority="251">
      <formula>AND(D$9&gt;=14/24,D$9&lt;20/24)</formula>
    </cfRule>
    <cfRule type="expression" dxfId="7860" priority="252">
      <formula>AND(D$9&gt;=8/24,D$9&lt;14/24)</formula>
    </cfRule>
    <cfRule type="expression" dxfId="7859" priority="253">
      <formula>D$9&lt;8/24</formula>
    </cfRule>
  </conditionalFormatting>
  <conditionalFormatting sqref="C88">
    <cfRule type="expression" dxfId="7858" priority="245">
      <formula>C$9&gt;=20/24</formula>
    </cfRule>
    <cfRule type="expression" dxfId="7857" priority="246">
      <formula>AND(C$9&gt;=14/24,C$9&lt;20/24)</formula>
    </cfRule>
    <cfRule type="expression" dxfId="7856" priority="247">
      <formula>AND(C$9&gt;=8/24,C$9&lt;14/24)</formula>
    </cfRule>
    <cfRule type="expression" dxfId="7855" priority="248">
      <formula>C$9&lt;8/24</formula>
    </cfRule>
  </conditionalFormatting>
  <conditionalFormatting sqref="Z46:AF46">
    <cfRule type="expression" dxfId="7854" priority="241">
      <formula>Z$9&gt;=20/24</formula>
    </cfRule>
    <cfRule type="expression" dxfId="7853" priority="242">
      <formula>AND(Z$9&gt;=14/24,Z$9&lt;20/24)</formula>
    </cfRule>
    <cfRule type="expression" dxfId="7852" priority="243">
      <formula>AND(Z$9&gt;=8/24,Z$9&lt;14/24)</formula>
    </cfRule>
    <cfRule type="expression" dxfId="7851" priority="244">
      <formula>Z$9&lt;8/24</formula>
    </cfRule>
  </conditionalFormatting>
  <conditionalFormatting sqref="Z46:AF46">
    <cfRule type="expression" dxfId="7850" priority="240">
      <formula>Z46&gt;$AG46</formula>
    </cfRule>
  </conditionalFormatting>
  <conditionalFormatting sqref="C49:E49">
    <cfRule type="expression" dxfId="7849" priority="226">
      <formula>C49&gt;$AG49</formula>
    </cfRule>
  </conditionalFormatting>
  <conditionalFormatting sqref="A11">
    <cfRule type="expression" dxfId="7848" priority="186">
      <formula>$AH11=0</formula>
    </cfRule>
  </conditionalFormatting>
  <conditionalFormatting sqref="Z11:AF11">
    <cfRule type="expression" dxfId="7847" priority="182">
      <formula>Z$9&gt;=20/24</formula>
    </cfRule>
    <cfRule type="expression" dxfId="7846" priority="183">
      <formula>AND(Z$9&gt;=14/24,Z$9&lt;20/24)</formula>
    </cfRule>
    <cfRule type="expression" dxfId="7845" priority="184">
      <formula>AND(Z$9&gt;=8/24,Z$9&lt;14/24)</formula>
    </cfRule>
    <cfRule type="expression" dxfId="7844" priority="185">
      <formula>Z$9&lt;8/24</formula>
    </cfRule>
  </conditionalFormatting>
  <conditionalFormatting sqref="Z11:AF11">
    <cfRule type="expression" dxfId="7843" priority="181">
      <formula>Z11&gt;$AG11</formula>
    </cfRule>
  </conditionalFormatting>
  <conditionalFormatting sqref="A16">
    <cfRule type="expression" dxfId="7842" priority="174">
      <formula>$AH16=0</formula>
    </cfRule>
  </conditionalFormatting>
  <conditionalFormatting sqref="AL16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7841" priority="170">
      <formula>Z$9&gt;=20/24</formula>
    </cfRule>
    <cfRule type="expression" dxfId="7840" priority="171">
      <formula>AND(Z$9&gt;=14/24,Z$9&lt;20/24)</formula>
    </cfRule>
    <cfRule type="expression" dxfId="7839" priority="172">
      <formula>AND(Z$9&gt;=8/24,Z$9&lt;14/24)</formula>
    </cfRule>
    <cfRule type="expression" dxfId="7838" priority="173">
      <formula>Z$9&lt;8/24</formula>
    </cfRule>
  </conditionalFormatting>
  <conditionalFormatting sqref="Z16:AF16">
    <cfRule type="expression" dxfId="7837" priority="169">
      <formula>Z16&gt;$AG16</formula>
    </cfRule>
  </conditionalFormatting>
  <conditionalFormatting sqref="A33">
    <cfRule type="expression" dxfId="7836" priority="162">
      <formula>$AH33=0</formula>
    </cfRule>
  </conditionalFormatting>
  <conditionalFormatting sqref="AL33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7835" priority="158">
      <formula>Z$9&gt;=20/24</formula>
    </cfRule>
    <cfRule type="expression" dxfId="7834" priority="159">
      <formula>AND(Z$9&gt;=14/24,Z$9&lt;20/24)</formula>
    </cfRule>
    <cfRule type="expression" dxfId="7833" priority="160">
      <formula>AND(Z$9&gt;=8/24,Z$9&lt;14/24)</formula>
    </cfRule>
    <cfRule type="expression" dxfId="7832" priority="161">
      <formula>Z$9&lt;8/24</formula>
    </cfRule>
  </conditionalFormatting>
  <conditionalFormatting sqref="Z33:AF33">
    <cfRule type="expression" dxfId="7831" priority="157">
      <formula>Z33&gt;$AG33</formula>
    </cfRule>
  </conditionalFormatting>
  <conditionalFormatting sqref="A44">
    <cfRule type="expression" dxfId="7830" priority="150">
      <formula>$AH44=0</formula>
    </cfRule>
  </conditionalFormatting>
  <conditionalFormatting sqref="AL44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7829" priority="149">
      <formula>Z44&gt;$AG44</formula>
    </cfRule>
  </conditionalFormatting>
  <conditionalFormatting sqref="Z44:AF44">
    <cfRule type="expression" dxfId="7828" priority="145">
      <formula>Z$9&gt;=20/24</formula>
    </cfRule>
    <cfRule type="expression" dxfId="7827" priority="146">
      <formula>AND(Z$9&gt;=14/24,Z$9&lt;20/24)</formula>
    </cfRule>
    <cfRule type="expression" dxfId="7826" priority="147">
      <formula>AND(Z$9&gt;=8/24,Z$9&lt;14/24)</formula>
    </cfRule>
    <cfRule type="expression" dxfId="7825" priority="148">
      <formula>Z$9&lt;8/24</formula>
    </cfRule>
  </conditionalFormatting>
  <conditionalFormatting sqref="F117:AF117">
    <cfRule type="expression" dxfId="7824" priority="136">
      <formula>F$9&gt;=20/24</formula>
    </cfRule>
    <cfRule type="expression" dxfId="7823" priority="137">
      <formula>AND(F$9&gt;=14/24,F$9&lt;20/24)</formula>
    </cfRule>
    <cfRule type="expression" dxfId="7822" priority="138">
      <formula>AND(F$9&gt;=8/24,F$9&lt;14/24)</formula>
    </cfRule>
    <cfRule type="expression" dxfId="7821" priority="139">
      <formula>F$9&lt;8/24</formula>
    </cfRule>
  </conditionalFormatting>
  <conditionalFormatting sqref="C117:E117">
    <cfRule type="expression" dxfId="7820" priority="132">
      <formula>C$9&gt;=20/24</formula>
    </cfRule>
    <cfRule type="expression" dxfId="7819" priority="133">
      <formula>AND(C$9&gt;=14/24,C$9&lt;20/24)</formula>
    </cfRule>
    <cfRule type="expression" dxfId="7818" priority="134">
      <formula>AND(C$9&gt;=8/24,C$9&lt;14/24)</formula>
    </cfRule>
    <cfRule type="expression" dxfId="7817" priority="135">
      <formula>C$9&lt;8/24</formula>
    </cfRule>
  </conditionalFormatting>
  <conditionalFormatting sqref="B109 B111:B116">
    <cfRule type="expression" dxfId="7816" priority="124">
      <formula>B$9&gt;=20/24</formula>
    </cfRule>
    <cfRule type="expression" dxfId="7815" priority="125">
      <formula>AND(B$9&gt;=14/24,B$9&lt;20/24)</formula>
    </cfRule>
    <cfRule type="expression" dxfId="7814" priority="126">
      <formula>AND(B$9&gt;=8/24,B$9&lt;14/24)</formula>
    </cfRule>
    <cfRule type="expression" dxfId="7813" priority="127">
      <formula>B$9&lt;8/24</formula>
    </cfRule>
  </conditionalFormatting>
  <conditionalFormatting sqref="B99">
    <cfRule type="expression" dxfId="7812" priority="120">
      <formula>B$9&gt;=20/24</formula>
    </cfRule>
    <cfRule type="expression" dxfId="7811" priority="121">
      <formula>AND(B$9&gt;=14/24,B$9&lt;20/24)</formula>
    </cfRule>
    <cfRule type="expression" dxfId="7810" priority="122">
      <formula>AND(B$9&gt;=8/24,B$9&lt;14/24)</formula>
    </cfRule>
    <cfRule type="expression" dxfId="7809" priority="123">
      <formula>B$9&lt;8/24</formula>
    </cfRule>
  </conditionalFormatting>
  <conditionalFormatting sqref="B71:C71 B54:I55">
    <cfRule type="expression" dxfId="7808" priority="116">
      <formula>B$9&gt;=20/24</formula>
    </cfRule>
    <cfRule type="expression" dxfId="7807" priority="117">
      <formula>AND(B$9&gt;=14/24,B$9&lt;20/24)</formula>
    </cfRule>
    <cfRule type="expression" dxfId="7806" priority="118">
      <formula>AND(B$9&gt;=8/24,B$9&lt;14/24)</formula>
    </cfRule>
    <cfRule type="expression" dxfId="7805" priority="119">
      <formula>B$9&lt;8/24</formula>
    </cfRule>
  </conditionalFormatting>
  <conditionalFormatting sqref="B53:G53">
    <cfRule type="expression" dxfId="7804" priority="112">
      <formula>B$9&gt;=20/24</formula>
    </cfRule>
    <cfRule type="expression" dxfId="7803" priority="113">
      <formula>AND(B$9&gt;=14/24,B$9&lt;20/24)</formula>
    </cfRule>
    <cfRule type="expression" dxfId="7802" priority="114">
      <formula>AND(B$9&gt;=8/24,B$9&lt;14/24)</formula>
    </cfRule>
    <cfRule type="expression" dxfId="7801" priority="115">
      <formula>B$9&lt;8/24</formula>
    </cfRule>
  </conditionalFormatting>
  <conditionalFormatting sqref="B53:G55 H54:I55">
    <cfRule type="expression" dxfId="7800" priority="111">
      <formula>B53&gt;$AG53</formula>
    </cfRule>
  </conditionalFormatting>
  <conditionalFormatting sqref="B96 B86 B47 B72:C74 B100:C106 D105:F106 D74:H74 B67:L69">
    <cfRule type="expression" dxfId="7799" priority="107">
      <formula>B$9&gt;=20/24</formula>
    </cfRule>
    <cfRule type="expression" dxfId="7798" priority="108">
      <formula>AND(B$9&gt;=14/24,B$9&lt;20/24)</formula>
    </cfRule>
    <cfRule type="expression" dxfId="7797" priority="109">
      <formula>AND(B$9&gt;=8/24,B$9&lt;14/24)</formula>
    </cfRule>
    <cfRule type="expression" dxfId="7796" priority="110">
      <formula>B$9&lt;8/24</formula>
    </cfRule>
  </conditionalFormatting>
  <conditionalFormatting sqref="B47 B67:L69">
    <cfRule type="expression" dxfId="7795" priority="106">
      <formula>B47&gt;$AG47</formula>
    </cfRule>
  </conditionalFormatting>
  <conditionalFormatting sqref="B56:I58">
    <cfRule type="expression" dxfId="7794" priority="102">
      <formula>B$9&gt;=20/24</formula>
    </cfRule>
    <cfRule type="expression" dxfId="7793" priority="103">
      <formula>AND(B$9&gt;=14/24,B$9&lt;20/24)</formula>
    </cfRule>
    <cfRule type="expression" dxfId="7792" priority="104">
      <formula>AND(B$9&gt;=8/24,B$9&lt;14/24)</formula>
    </cfRule>
    <cfRule type="expression" dxfId="7791" priority="105">
      <formula>B$9&lt;8/24</formula>
    </cfRule>
  </conditionalFormatting>
  <conditionalFormatting sqref="B56:I58">
    <cfRule type="expression" dxfId="7790" priority="101">
      <formula>B56&gt;$AG56</formula>
    </cfRule>
  </conditionalFormatting>
  <conditionalFormatting sqref="B97 B88">
    <cfRule type="expression" dxfId="7789" priority="97">
      <formula>B$9&gt;=20/24</formula>
    </cfRule>
    <cfRule type="expression" dxfId="7788" priority="98">
      <formula>AND(B$9&gt;=14/24,B$9&lt;20/24)</formula>
    </cfRule>
    <cfRule type="expression" dxfId="7787" priority="99">
      <formula>AND(B$9&gt;=8/24,B$9&lt;14/24)</formula>
    </cfRule>
    <cfRule type="expression" dxfId="7786" priority="100">
      <formula>B$9&lt;8/24</formula>
    </cfRule>
  </conditionalFormatting>
  <conditionalFormatting sqref="B91:B95">
    <cfRule type="expression" dxfId="7785" priority="93">
      <formula>B$9&gt;=20/24</formula>
    </cfRule>
    <cfRule type="expression" dxfId="7784" priority="94">
      <formula>AND(B$9&gt;=14/24,B$9&lt;20/24)</formula>
    </cfRule>
    <cfRule type="expression" dxfId="7783" priority="95">
      <formula>AND(B$9&gt;=8/24,B$9&lt;14/24)</formula>
    </cfRule>
    <cfRule type="expression" dxfId="7782" priority="96">
      <formula>B$9&lt;8/24</formula>
    </cfRule>
  </conditionalFormatting>
  <conditionalFormatting sqref="B49:B51 C50:H51">
    <cfRule type="expression" dxfId="7781" priority="89">
      <formula>B$9&gt;=20/24</formula>
    </cfRule>
    <cfRule type="expression" dxfId="7780" priority="90">
      <formula>AND(B$9&gt;=14/24,B$9&lt;20/24)</formula>
    </cfRule>
    <cfRule type="expression" dxfId="7779" priority="91">
      <formula>AND(B$9&gt;=8/24,B$9&lt;14/24)</formula>
    </cfRule>
    <cfRule type="expression" dxfId="7778" priority="92">
      <formula>B$9&lt;8/24</formula>
    </cfRule>
  </conditionalFormatting>
  <conditionalFormatting sqref="B49:B51 C50:H51">
    <cfRule type="expression" dxfId="7777" priority="88">
      <formula>B49&gt;$AG49</formula>
    </cfRule>
  </conditionalFormatting>
  <conditionalFormatting sqref="B107">
    <cfRule type="expression" dxfId="7776" priority="84">
      <formula>B$9&gt;=20/24</formula>
    </cfRule>
    <cfRule type="expression" dxfId="7775" priority="85">
      <formula>AND(B$9&gt;=14/24,B$9&lt;20/24)</formula>
    </cfRule>
    <cfRule type="expression" dxfId="7774" priority="86">
      <formula>AND(B$9&gt;=8/24,B$9&lt;14/24)</formula>
    </cfRule>
    <cfRule type="expression" dxfId="7773" priority="87">
      <formula>B$9&lt;8/24</formula>
    </cfRule>
  </conditionalFormatting>
  <conditionalFormatting sqref="B110">
    <cfRule type="expression" dxfId="7772" priority="80">
      <formula>B$9&gt;=20/24</formula>
    </cfRule>
    <cfRule type="expression" dxfId="7771" priority="81">
      <formula>AND(B$9&gt;=14/24,B$9&lt;20/24)</formula>
    </cfRule>
    <cfRule type="expression" dxfId="7770" priority="82">
      <formula>AND(B$9&gt;=8/24,B$9&lt;14/24)</formula>
    </cfRule>
    <cfRule type="expression" dxfId="7769" priority="83">
      <formula>B$9&lt;8/24</formula>
    </cfRule>
  </conditionalFormatting>
  <conditionalFormatting sqref="B34:Y43 B17:Y32">
    <cfRule type="expression" dxfId="7768" priority="76">
      <formula>B$9&gt;=20/24</formula>
    </cfRule>
    <cfRule type="expression" dxfId="7767" priority="77">
      <formula>AND(B$9&gt;=14/24,B$9&lt;20/24)</formula>
    </cfRule>
    <cfRule type="expression" dxfId="7766" priority="78">
      <formula>AND(B$9&gt;=8/24,B$9&lt;14/24)</formula>
    </cfRule>
    <cfRule type="expression" dxfId="7765" priority="79">
      <formula>B$9&lt;8/24</formula>
    </cfRule>
  </conditionalFormatting>
  <conditionalFormatting sqref="B34:Y43 B17:Y32">
    <cfRule type="expression" dxfId="7764" priority="75">
      <formula>B17&gt;$AG17</formula>
    </cfRule>
  </conditionalFormatting>
  <conditionalFormatting sqref="B83:B85 B75:H76">
    <cfRule type="expression" dxfId="7763" priority="71">
      <formula>B$9&gt;=20/24</formula>
    </cfRule>
    <cfRule type="expression" dxfId="7762" priority="72">
      <formula>AND(B$9&gt;=14/24,B$9&lt;20/24)</formula>
    </cfRule>
    <cfRule type="expression" dxfId="7761" priority="73">
      <formula>AND(B$9&gt;=8/24,B$9&lt;14/24)</formula>
    </cfRule>
    <cfRule type="expression" dxfId="7760" priority="74">
      <formula>B$9&lt;8/24</formula>
    </cfRule>
  </conditionalFormatting>
  <conditionalFormatting sqref="B87 B89 B98 B70">
    <cfRule type="expression" dxfId="7759" priority="67">
      <formula>B$9&gt;=20/24</formula>
    </cfRule>
    <cfRule type="expression" dxfId="7758" priority="68">
      <formula>AND(B$9&gt;=14/24,B$9&lt;20/24)</formula>
    </cfRule>
    <cfRule type="expression" dxfId="7757" priority="69">
      <formula>AND(B$9&gt;=8/24,B$9&lt;14/24)</formula>
    </cfRule>
    <cfRule type="expression" dxfId="7756" priority="70">
      <formula>B$9&lt;8/24</formula>
    </cfRule>
  </conditionalFormatting>
  <conditionalFormatting sqref="B70 B65:B66 B48">
    <cfRule type="expression" dxfId="7755" priority="66">
      <formula>B48&gt;$AG48</formula>
    </cfRule>
  </conditionalFormatting>
  <conditionalFormatting sqref="B82">
    <cfRule type="expression" dxfId="7754" priority="62">
      <formula>B$9&gt;=20/24</formula>
    </cfRule>
    <cfRule type="expression" dxfId="7753" priority="63">
      <formula>AND(B$9&gt;=14/24,B$9&lt;20/24)</formula>
    </cfRule>
    <cfRule type="expression" dxfId="7752" priority="64">
      <formula>AND(B$9&gt;=8/24,B$9&lt;14/24)</formula>
    </cfRule>
    <cfRule type="expression" dxfId="7751" priority="65">
      <formula>B$9&lt;8/24</formula>
    </cfRule>
  </conditionalFormatting>
  <conditionalFormatting sqref="B52">
    <cfRule type="expression" dxfId="7750" priority="58">
      <formula>B$9&gt;=20/24</formula>
    </cfRule>
    <cfRule type="expression" dxfId="7749" priority="59">
      <formula>AND(B$9&gt;=14/24,B$9&lt;20/24)</formula>
    </cfRule>
    <cfRule type="expression" dxfId="7748" priority="60">
      <formula>AND(B$9&gt;=8/24,B$9&lt;14/24)</formula>
    </cfRule>
    <cfRule type="expression" dxfId="7747" priority="61">
      <formula>B$9&lt;8/24</formula>
    </cfRule>
  </conditionalFormatting>
  <conditionalFormatting sqref="B52">
    <cfRule type="expression" dxfId="7746" priority="57">
      <formula>B52&gt;$AG52</formula>
    </cfRule>
  </conditionalFormatting>
  <conditionalFormatting sqref="B59:I64">
    <cfRule type="expression" dxfId="7745" priority="49">
      <formula>B$9&gt;=20/24</formula>
    </cfRule>
    <cfRule type="expression" dxfId="7744" priority="50">
      <formula>AND(B$9&gt;=14/24,B$9&lt;20/24)</formula>
    </cfRule>
    <cfRule type="expression" dxfId="7743" priority="51">
      <formula>AND(B$9&gt;=8/24,B$9&lt;14/24)</formula>
    </cfRule>
    <cfRule type="expression" dxfId="7742" priority="52">
      <formula>B$9&lt;8/24</formula>
    </cfRule>
  </conditionalFormatting>
  <conditionalFormatting sqref="B59:I64">
    <cfRule type="expression" dxfId="7741" priority="48">
      <formula>B59&gt;$AG59</formula>
    </cfRule>
  </conditionalFormatting>
  <conditionalFormatting sqref="B45:AF45 B13:AF15">
    <cfRule type="expression" dxfId="7740" priority="47">
      <formula>B13&gt;$AG13</formula>
    </cfRule>
  </conditionalFormatting>
  <conditionalFormatting sqref="B12:Y12">
    <cfRule type="expression" dxfId="7739" priority="43">
      <formula>B$9&gt;=20/24</formula>
    </cfRule>
    <cfRule type="expression" dxfId="7738" priority="44">
      <formula>AND(B$9&gt;=14/24,B$9&lt;20/24)</formula>
    </cfRule>
    <cfRule type="expression" dxfId="7737" priority="45">
      <formula>AND(B$9&gt;=8/24,B$9&lt;14/24)</formula>
    </cfRule>
    <cfRule type="expression" dxfId="7736" priority="46">
      <formula>B$9&lt;8/24</formula>
    </cfRule>
  </conditionalFormatting>
  <conditionalFormatting sqref="B12:Y12">
    <cfRule type="expression" dxfId="7735" priority="42">
      <formula>B12&gt;$AG12</formula>
    </cfRule>
  </conditionalFormatting>
  <conditionalFormatting sqref="B13:Y15">
    <cfRule type="expression" dxfId="7734" priority="38">
      <formula>B$9&gt;=20/24</formula>
    </cfRule>
    <cfRule type="expression" dxfId="7733" priority="39">
      <formula>AND(B$9&gt;=14/24,B$9&lt;20/24)</formula>
    </cfRule>
    <cfRule type="expression" dxfId="7732" priority="40">
      <formula>AND(B$9&gt;=8/24,B$9&lt;14/24)</formula>
    </cfRule>
    <cfRule type="expression" dxfId="7731" priority="41">
      <formula>B$9&lt;8/24</formula>
    </cfRule>
  </conditionalFormatting>
  <conditionalFormatting sqref="B45:AF45">
    <cfRule type="expression" dxfId="7730" priority="34">
      <formula>B$9&gt;=20/24</formula>
    </cfRule>
    <cfRule type="expression" dxfId="7729" priority="35">
      <formula>AND(B$9&gt;=14/24,B$9&lt;20/24)</formula>
    </cfRule>
    <cfRule type="expression" dxfId="7728" priority="36">
      <formula>AND(B$9&gt;=8/24,B$9&lt;14/24)</formula>
    </cfRule>
    <cfRule type="expression" dxfId="7727" priority="37">
      <formula>B$9&lt;8/24</formula>
    </cfRule>
  </conditionalFormatting>
  <conditionalFormatting sqref="B77:G81 H77:H80">
    <cfRule type="expression" dxfId="7726" priority="30">
      <formula>B$9&gt;=20/24</formula>
    </cfRule>
    <cfRule type="expression" dxfId="7725" priority="31">
      <formula>AND(B$9&gt;=14/24,B$9&lt;20/24)</formula>
    </cfRule>
    <cfRule type="expression" dxfId="7724" priority="32">
      <formula>AND(B$9&gt;=8/24,B$9&lt;14/24)</formula>
    </cfRule>
    <cfRule type="expression" dxfId="7723" priority="33">
      <formula>B$9&lt;8/24</formula>
    </cfRule>
  </conditionalFormatting>
  <conditionalFormatting sqref="B46:AF46">
    <cfRule type="expression" dxfId="7722" priority="26">
      <formula>B$9&gt;=20/24</formula>
    </cfRule>
    <cfRule type="expression" dxfId="7721" priority="27">
      <formula>AND(B$9&gt;=14/24,B$9&lt;20/24)</formula>
    </cfRule>
    <cfRule type="expression" dxfId="7720" priority="28">
      <formula>AND(B$9&gt;=8/24,B$9&lt;14/24)</formula>
    </cfRule>
    <cfRule type="expression" dxfId="7719" priority="29">
      <formula>B$9&lt;8/24</formula>
    </cfRule>
  </conditionalFormatting>
  <conditionalFormatting sqref="B46:Y46">
    <cfRule type="expression" dxfId="7718" priority="25">
      <formula>B46&gt;$AG46</formula>
    </cfRule>
  </conditionalFormatting>
  <conditionalFormatting sqref="B11:Y11">
    <cfRule type="expression" dxfId="7717" priority="21">
      <formula>B$9&gt;=20/24</formula>
    </cfRule>
    <cfRule type="expression" dxfId="7716" priority="22">
      <formula>AND(B$9&gt;=14/24,B$9&lt;20/24)</formula>
    </cfRule>
    <cfRule type="expression" dxfId="7715" priority="23">
      <formula>AND(B$9&gt;=8/24,B$9&lt;14/24)</formula>
    </cfRule>
    <cfRule type="expression" dxfId="7714" priority="24">
      <formula>B$9&lt;8/24</formula>
    </cfRule>
  </conditionalFormatting>
  <conditionalFormatting sqref="B11:Y11">
    <cfRule type="expression" dxfId="7713" priority="20">
      <formula>B11&gt;$AG11</formula>
    </cfRule>
  </conditionalFormatting>
  <conditionalFormatting sqref="B16:Y16">
    <cfRule type="expression" dxfId="7712" priority="16">
      <formula>B$9&gt;=20/24</formula>
    </cfRule>
    <cfRule type="expression" dxfId="7711" priority="17">
      <formula>AND(B$9&gt;=14/24,B$9&lt;20/24)</formula>
    </cfRule>
    <cfRule type="expression" dxfId="7710" priority="18">
      <formula>AND(B$9&gt;=8/24,B$9&lt;14/24)</formula>
    </cfRule>
    <cfRule type="expression" dxfId="7709" priority="19">
      <formula>B$9&lt;8/24</formula>
    </cfRule>
  </conditionalFormatting>
  <conditionalFormatting sqref="B16:Y16">
    <cfRule type="expression" dxfId="7708" priority="15">
      <formula>B16&gt;$AG16</formula>
    </cfRule>
  </conditionalFormatting>
  <conditionalFormatting sqref="B33:Y33">
    <cfRule type="expression" dxfId="7707" priority="11">
      <formula>B$9&gt;=20/24</formula>
    </cfRule>
    <cfRule type="expression" dxfId="7706" priority="12">
      <formula>AND(B$9&gt;=14/24,B$9&lt;20/24)</formula>
    </cfRule>
    <cfRule type="expression" dxfId="7705" priority="13">
      <formula>AND(B$9&gt;=8/24,B$9&lt;14/24)</formula>
    </cfRule>
    <cfRule type="expression" dxfId="7704" priority="14">
      <formula>B$9&lt;8/24</formula>
    </cfRule>
  </conditionalFormatting>
  <conditionalFormatting sqref="B33:Y33">
    <cfRule type="expression" dxfId="7703" priority="10">
      <formula>B33&gt;$AG33</formula>
    </cfRule>
  </conditionalFormatting>
  <conditionalFormatting sqref="B44:AF44">
    <cfRule type="expression" dxfId="7702" priority="9">
      <formula>B44&gt;$AG44</formula>
    </cfRule>
  </conditionalFormatting>
  <conditionalFormatting sqref="B44:Y44">
    <cfRule type="expression" dxfId="7701" priority="5">
      <formula>B$9&gt;=20/24</formula>
    </cfRule>
    <cfRule type="expression" dxfId="7700" priority="6">
      <formula>AND(B$9&gt;=14/24,B$9&lt;20/24)</formula>
    </cfRule>
    <cfRule type="expression" dxfId="7699" priority="7">
      <formula>AND(B$9&gt;=8/24,B$9&lt;14/24)</formula>
    </cfRule>
    <cfRule type="expression" dxfId="7698" priority="8">
      <formula>B$9&lt;8/24</formula>
    </cfRule>
  </conditionalFormatting>
  <conditionalFormatting sqref="B117">
    <cfRule type="expression" dxfId="7697" priority="1">
      <formula>B$9&gt;=20/24</formula>
    </cfRule>
    <cfRule type="expression" dxfId="7696" priority="2">
      <formula>AND(B$9&gt;=14/24,B$9&lt;20/24)</formula>
    </cfRule>
    <cfRule type="expression" dxfId="7695" priority="3">
      <formula>AND(B$9&gt;=8/24,B$9&lt;14/24)</formula>
    </cfRule>
    <cfRule type="expression" dxfId="7694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08" id="{62338822-63BE-4ECB-84BC-CB72C425749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09" id="{CB556B99-9679-44ED-BB7D-2AAB80FCD2E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10" id="{4CDBF355-4350-477D-BB89-4FED8E3C6DF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11" id="{CAF9D58C-E562-4D09-895C-D268DBE130CF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53" id="{62B2E299-D2D7-4811-B8B4-5368F4A2ED2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4" id="{C8B48814-787D-4A45-B2BB-66992F0F6D2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5" id="{F0506603-C93F-4E1F-8BF1-9CDDFF13616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6" id="{B030B1F6-0147-424B-B187-31FEB18E1287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Normal="100" workbookViewId="0">
      <pane ySplit="10" topLeftCell="A77" activePane="bottomLeft" state="frozen"/>
      <selection activeCell="Z85" sqref="Z85"/>
      <selection pane="bottomLeft" activeCell="G50" sqref="G50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7" style="2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2079/12/7</v>
      </c>
      <c r="C4" s="236"/>
      <c r="D4" s="236"/>
      <c r="E4" s="237" t="str">
        <f ca="1">"2079/"&amp;"12/"&amp;INT(MID(CELL("filename",G6),FIND("]",CELL("filename",G6))+1,200))</f>
        <v>2079/12/7</v>
      </c>
      <c r="F4" s="237"/>
      <c r="G4" s="237"/>
      <c r="H4" s="237" t="str">
        <f ca="1">TEXT(E4,"dddd")</f>
        <v>Thursday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360</v>
      </c>
      <c r="C5" s="33">
        <f t="shared" si="0"/>
        <v>502</v>
      </c>
      <c r="D5" s="33">
        <f t="shared" si="0"/>
        <v>502</v>
      </c>
      <c r="E5" s="33">
        <f t="shared" si="0"/>
        <v>607.79999999999995</v>
      </c>
      <c r="F5" s="33">
        <f t="shared" si="0"/>
        <v>611.29999999999995</v>
      </c>
      <c r="G5" s="33">
        <f t="shared" si="0"/>
        <v>611.39999999999986</v>
      </c>
      <c r="H5" s="33">
        <f t="shared" si="0"/>
        <v>530.70000000000005</v>
      </c>
      <c r="I5" s="33">
        <f t="shared" si="0"/>
        <v>544.99999999999989</v>
      </c>
      <c r="J5" s="33">
        <f t="shared" si="0"/>
        <v>529</v>
      </c>
      <c r="K5" s="33">
        <f t="shared" si="0"/>
        <v>529</v>
      </c>
      <c r="L5" s="33">
        <f t="shared" si="0"/>
        <v>520</v>
      </c>
      <c r="M5" s="33">
        <f t="shared" si="0"/>
        <v>551.5</v>
      </c>
      <c r="N5" s="33">
        <f t="shared" si="0"/>
        <v>552.20000000000005</v>
      </c>
      <c r="O5" s="33">
        <f t="shared" si="0"/>
        <v>563.29999999999995</v>
      </c>
      <c r="P5" s="33">
        <f t="shared" si="0"/>
        <v>593.6</v>
      </c>
      <c r="Q5" s="33">
        <f t="shared" si="0"/>
        <v>593.6</v>
      </c>
      <c r="R5" s="33">
        <f t="shared" si="0"/>
        <v>697.80000000000007</v>
      </c>
      <c r="S5" s="33">
        <f t="shared" si="0"/>
        <v>696</v>
      </c>
      <c r="T5" s="33">
        <f t="shared" si="0"/>
        <v>701.19999999999993</v>
      </c>
      <c r="U5" s="33">
        <f t="shared" si="0"/>
        <v>469.4</v>
      </c>
      <c r="V5" s="33">
        <f t="shared" si="0"/>
        <v>383.2</v>
      </c>
      <c r="W5" s="33">
        <f t="shared" si="0"/>
        <v>368.2</v>
      </c>
      <c r="X5" s="33">
        <f t="shared" si="0"/>
        <v>414.2</v>
      </c>
      <c r="Y5" s="33">
        <f t="shared" si="0"/>
        <v>445.2</v>
      </c>
      <c r="Z5" s="33">
        <f t="shared" si="0"/>
        <v>445.2</v>
      </c>
      <c r="AA5" s="33">
        <f t="shared" si="0"/>
        <v>460</v>
      </c>
      <c r="AB5" s="33">
        <f t="shared" si="0"/>
        <v>436</v>
      </c>
      <c r="AC5" s="33">
        <f t="shared" si="0"/>
        <v>439.1</v>
      </c>
      <c r="AD5" s="33">
        <f t="shared" si="0"/>
        <v>403.8</v>
      </c>
      <c r="AE5" s="33">
        <f t="shared" si="0"/>
        <v>403</v>
      </c>
      <c r="AF5" s="33">
        <f>B82</f>
        <v>358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1533MW at 9:00hr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Load=1239</v>
      </c>
      <c r="B7" s="38">
        <f t="shared" ref="B7:AF7" si="1">B89</f>
        <v>1411.94</v>
      </c>
      <c r="C7" s="38">
        <f t="shared" si="1"/>
        <v>1315.3400000000001</v>
      </c>
      <c r="D7" s="38">
        <f t="shared" si="1"/>
        <v>1259.94</v>
      </c>
      <c r="E7" s="38">
        <f t="shared" si="1"/>
        <v>1259.94</v>
      </c>
      <c r="F7" s="38">
        <f t="shared" si="1"/>
        <v>1238.94</v>
      </c>
      <c r="G7" s="38">
        <f t="shared" si="1"/>
        <v>1243.44</v>
      </c>
      <c r="H7" s="38">
        <f t="shared" si="1"/>
        <v>1243.54</v>
      </c>
      <c r="I7" s="38">
        <f t="shared" si="1"/>
        <v>1281.94</v>
      </c>
      <c r="J7" s="38">
        <f t="shared" si="1"/>
        <v>1309.3399999999997</v>
      </c>
      <c r="K7" s="38">
        <f t="shared" si="1"/>
        <v>1293.3399999999999</v>
      </c>
      <c r="L7" s="38">
        <f t="shared" si="1"/>
        <v>1392.24</v>
      </c>
      <c r="M7" s="38">
        <f t="shared" si="1"/>
        <v>1516.1399999999999</v>
      </c>
      <c r="N7" s="38">
        <f>N89</f>
        <v>1533.04</v>
      </c>
      <c r="O7" s="38">
        <f t="shared" si="1"/>
        <v>1533.74</v>
      </c>
      <c r="P7" s="38">
        <f t="shared" si="1"/>
        <v>1582.94</v>
      </c>
      <c r="Q7" s="38">
        <f t="shared" si="1"/>
        <v>1564.1399999999999</v>
      </c>
      <c r="R7" s="38">
        <f t="shared" si="1"/>
        <v>1593.04</v>
      </c>
      <c r="S7" s="38">
        <f t="shared" si="1"/>
        <v>1627.7400000000002</v>
      </c>
      <c r="T7" s="38">
        <f t="shared" si="1"/>
        <v>1644.94</v>
      </c>
      <c r="U7" s="38">
        <f t="shared" si="1"/>
        <v>1635.34</v>
      </c>
      <c r="V7" s="38">
        <f t="shared" si="1"/>
        <v>1551.6399999999999</v>
      </c>
      <c r="W7" s="38">
        <f t="shared" si="1"/>
        <v>1514.1399999999999</v>
      </c>
      <c r="X7" s="38">
        <f t="shared" si="1"/>
        <v>1531.04</v>
      </c>
      <c r="Y7" s="38">
        <f t="shared" si="1"/>
        <v>1573.14</v>
      </c>
      <c r="Z7" s="38">
        <f t="shared" si="1"/>
        <v>1761.24</v>
      </c>
      <c r="AA7" s="38">
        <f t="shared" si="1"/>
        <v>1749.64</v>
      </c>
      <c r="AB7" s="38">
        <f t="shared" si="1"/>
        <v>1730.04</v>
      </c>
      <c r="AC7" s="38">
        <f t="shared" si="1"/>
        <v>1704.5400000000002</v>
      </c>
      <c r="AD7" s="38">
        <f t="shared" si="1"/>
        <v>1672.04</v>
      </c>
      <c r="AE7" s="38">
        <f t="shared" si="1"/>
        <v>1591.4399999999998</v>
      </c>
      <c r="AF7" s="38">
        <f t="shared" si="1"/>
        <v>1508.04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24</v>
      </c>
      <c r="C11" s="50">
        <v>24</v>
      </c>
      <c r="D11" s="50">
        <v>24</v>
      </c>
      <c r="E11" s="50">
        <v>24</v>
      </c>
      <c r="F11" s="50">
        <v>24</v>
      </c>
      <c r="G11" s="50">
        <v>24</v>
      </c>
      <c r="H11" s="50">
        <v>24</v>
      </c>
      <c r="I11" s="50">
        <v>24</v>
      </c>
      <c r="J11" s="50">
        <v>24</v>
      </c>
      <c r="K11" s="50">
        <v>24</v>
      </c>
      <c r="L11" s="50">
        <v>24</v>
      </c>
      <c r="M11" s="50">
        <v>24</v>
      </c>
      <c r="N11" s="50">
        <v>24</v>
      </c>
      <c r="O11" s="50">
        <v>24</v>
      </c>
      <c r="P11" s="50">
        <v>24</v>
      </c>
      <c r="Q11" s="50">
        <v>24</v>
      </c>
      <c r="R11" s="50">
        <v>24</v>
      </c>
      <c r="S11" s="50">
        <v>24</v>
      </c>
      <c r="T11" s="50">
        <v>24</v>
      </c>
      <c r="U11" s="50">
        <v>24</v>
      </c>
      <c r="V11" s="50">
        <v>24</v>
      </c>
      <c r="W11" s="50">
        <v>24</v>
      </c>
      <c r="X11" s="50">
        <v>24</v>
      </c>
      <c r="Y11" s="50">
        <v>24</v>
      </c>
      <c r="Z11" s="50">
        <v>24</v>
      </c>
      <c r="AA11" s="50">
        <v>24</v>
      </c>
      <c r="AB11" s="50">
        <v>24</v>
      </c>
      <c r="AC11" s="50">
        <v>24</v>
      </c>
      <c r="AD11" s="50">
        <v>24</v>
      </c>
      <c r="AE11" s="50">
        <v>24</v>
      </c>
      <c r="AF11" s="50">
        <v>24</v>
      </c>
      <c r="AG11" s="51">
        <v>86</v>
      </c>
      <c r="AH11" s="52">
        <f t="shared" ref="AH11:AH74" si="2">MAX(B11:AF11)</f>
        <v>24</v>
      </c>
      <c r="AI11" s="53">
        <f t="shared" ref="AI11:AI74" si="3">MIN(B11:AF11)</f>
        <v>24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13</v>
      </c>
      <c r="C12" s="50">
        <v>13</v>
      </c>
      <c r="D12" s="50">
        <v>13</v>
      </c>
      <c r="E12" s="50">
        <v>13</v>
      </c>
      <c r="F12" s="50">
        <v>13</v>
      </c>
      <c r="G12" s="50">
        <v>13</v>
      </c>
      <c r="H12" s="50">
        <v>13</v>
      </c>
      <c r="I12" s="50">
        <v>13</v>
      </c>
      <c r="J12" s="50">
        <v>13</v>
      </c>
      <c r="K12" s="50">
        <v>13</v>
      </c>
      <c r="L12" s="50">
        <v>13</v>
      </c>
      <c r="M12" s="50">
        <v>13</v>
      </c>
      <c r="N12" s="50">
        <v>13</v>
      </c>
      <c r="O12" s="50">
        <v>13</v>
      </c>
      <c r="P12" s="50">
        <v>13</v>
      </c>
      <c r="Q12" s="50">
        <v>13</v>
      </c>
      <c r="R12" s="50">
        <v>13</v>
      </c>
      <c r="S12" s="50">
        <v>13</v>
      </c>
      <c r="T12" s="50">
        <v>13</v>
      </c>
      <c r="U12" s="50">
        <v>13</v>
      </c>
      <c r="V12" s="50">
        <v>13</v>
      </c>
      <c r="W12" s="50">
        <v>13</v>
      </c>
      <c r="X12" s="50">
        <v>13</v>
      </c>
      <c r="Y12" s="50">
        <v>13</v>
      </c>
      <c r="Z12" s="50">
        <v>13</v>
      </c>
      <c r="AA12" s="50">
        <v>13</v>
      </c>
      <c r="AB12" s="50">
        <v>13</v>
      </c>
      <c r="AC12" s="50">
        <v>13</v>
      </c>
      <c r="AD12" s="50">
        <v>13</v>
      </c>
      <c r="AE12" s="50">
        <v>13.6</v>
      </c>
      <c r="AF12" s="50">
        <v>13.6</v>
      </c>
      <c r="AG12" s="51">
        <v>52.4</v>
      </c>
      <c r="AH12" s="52">
        <f t="shared" si="2"/>
        <v>13.6</v>
      </c>
      <c r="AI12" s="53">
        <f t="shared" si="3"/>
        <v>13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41</v>
      </c>
      <c r="C13" s="50">
        <v>41</v>
      </c>
      <c r="D13" s="50">
        <v>41</v>
      </c>
      <c r="E13" s="50">
        <v>41</v>
      </c>
      <c r="F13" s="50">
        <v>41</v>
      </c>
      <c r="G13" s="50">
        <v>41</v>
      </c>
      <c r="H13" s="50">
        <v>41</v>
      </c>
      <c r="I13" s="50">
        <v>41</v>
      </c>
      <c r="J13" s="50">
        <v>41</v>
      </c>
      <c r="K13" s="50">
        <v>41</v>
      </c>
      <c r="L13" s="50">
        <v>41</v>
      </c>
      <c r="M13" s="50">
        <v>41</v>
      </c>
      <c r="N13" s="50">
        <v>41</v>
      </c>
      <c r="O13" s="50">
        <v>41</v>
      </c>
      <c r="P13" s="50">
        <v>41</v>
      </c>
      <c r="Q13" s="50">
        <v>41</v>
      </c>
      <c r="R13" s="50">
        <v>41</v>
      </c>
      <c r="S13" s="50">
        <v>41</v>
      </c>
      <c r="T13" s="50">
        <v>41</v>
      </c>
      <c r="U13" s="50">
        <v>41</v>
      </c>
      <c r="V13" s="50">
        <v>41</v>
      </c>
      <c r="W13" s="50">
        <v>41</v>
      </c>
      <c r="X13" s="50">
        <v>41</v>
      </c>
      <c r="Y13" s="50">
        <v>41</v>
      </c>
      <c r="Z13" s="50">
        <v>41</v>
      </c>
      <c r="AA13" s="50">
        <v>41</v>
      </c>
      <c r="AB13" s="50">
        <v>41</v>
      </c>
      <c r="AC13" s="50">
        <v>41</v>
      </c>
      <c r="AD13" s="50">
        <v>41</v>
      </c>
      <c r="AE13" s="50">
        <v>36.6</v>
      </c>
      <c r="AF13" s="50">
        <v>41</v>
      </c>
      <c r="AG13" s="55">
        <v>50</v>
      </c>
      <c r="AH13" s="52">
        <f t="shared" si="2"/>
        <v>41</v>
      </c>
      <c r="AI13" s="53">
        <f t="shared" si="3"/>
        <v>36.6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15.5</v>
      </c>
      <c r="C14" s="50">
        <v>15.5</v>
      </c>
      <c r="D14" s="50">
        <v>15.5</v>
      </c>
      <c r="E14" s="50">
        <v>15.5</v>
      </c>
      <c r="F14" s="50">
        <v>15.5</v>
      </c>
      <c r="G14" s="50">
        <v>15.5</v>
      </c>
      <c r="H14" s="50">
        <v>15.5</v>
      </c>
      <c r="I14" s="50">
        <v>15.5</v>
      </c>
      <c r="J14" s="50">
        <v>15.5</v>
      </c>
      <c r="K14" s="50">
        <v>15.5</v>
      </c>
      <c r="L14" s="50">
        <v>15.5</v>
      </c>
      <c r="M14" s="50">
        <v>15.5</v>
      </c>
      <c r="N14" s="50">
        <v>15.5</v>
      </c>
      <c r="O14" s="50">
        <v>15.5</v>
      </c>
      <c r="P14" s="50">
        <v>15.5</v>
      </c>
      <c r="Q14" s="50">
        <v>15.5</v>
      </c>
      <c r="R14" s="50">
        <v>15.5</v>
      </c>
      <c r="S14" s="50">
        <v>15.5</v>
      </c>
      <c r="T14" s="50">
        <v>15.5</v>
      </c>
      <c r="U14" s="50">
        <v>15.5</v>
      </c>
      <c r="V14" s="50">
        <v>15.5</v>
      </c>
      <c r="W14" s="50">
        <v>15.5</v>
      </c>
      <c r="X14" s="50">
        <v>15.5</v>
      </c>
      <c r="Y14" s="50">
        <v>15.5</v>
      </c>
      <c r="Z14" s="50">
        <v>15.5</v>
      </c>
      <c r="AA14" s="50">
        <v>15.5</v>
      </c>
      <c r="AB14" s="50">
        <v>15.5</v>
      </c>
      <c r="AC14" s="50">
        <v>15.5</v>
      </c>
      <c r="AD14" s="50">
        <v>15.5</v>
      </c>
      <c r="AE14" s="50">
        <v>17.899999999999999</v>
      </c>
      <c r="AF14" s="50">
        <v>17.8</v>
      </c>
      <c r="AG14" s="55">
        <v>45</v>
      </c>
      <c r="AH14" s="52">
        <f t="shared" si="2"/>
        <v>17.899999999999999</v>
      </c>
      <c r="AI14" s="53">
        <f t="shared" si="3"/>
        <v>15.5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11</v>
      </c>
      <c r="C15" s="50">
        <v>11</v>
      </c>
      <c r="D15" s="50">
        <v>11</v>
      </c>
      <c r="E15" s="50">
        <v>11</v>
      </c>
      <c r="F15" s="50">
        <v>11</v>
      </c>
      <c r="G15" s="50">
        <v>11</v>
      </c>
      <c r="H15" s="50">
        <v>11</v>
      </c>
      <c r="I15" s="50">
        <v>11</v>
      </c>
      <c r="J15" s="50">
        <v>11</v>
      </c>
      <c r="K15" s="50">
        <v>11</v>
      </c>
      <c r="L15" s="50">
        <v>11</v>
      </c>
      <c r="M15" s="50">
        <v>11</v>
      </c>
      <c r="N15" s="50">
        <v>11</v>
      </c>
      <c r="O15" s="50">
        <v>11</v>
      </c>
      <c r="P15" s="50">
        <v>11</v>
      </c>
      <c r="Q15" s="50">
        <v>11</v>
      </c>
      <c r="R15" s="50">
        <v>11</v>
      </c>
      <c r="S15" s="50">
        <v>11</v>
      </c>
      <c r="T15" s="50">
        <v>11</v>
      </c>
      <c r="U15" s="50">
        <v>11</v>
      </c>
      <c r="V15" s="50">
        <v>11</v>
      </c>
      <c r="W15" s="50">
        <v>11</v>
      </c>
      <c r="X15" s="50">
        <v>11</v>
      </c>
      <c r="Y15" s="50">
        <v>11</v>
      </c>
      <c r="Z15" s="50">
        <v>11</v>
      </c>
      <c r="AA15" s="50">
        <v>11</v>
      </c>
      <c r="AB15" s="50">
        <v>11</v>
      </c>
      <c r="AC15" s="50">
        <v>11</v>
      </c>
      <c r="AD15" s="50">
        <v>11</v>
      </c>
      <c r="AE15" s="50">
        <v>11</v>
      </c>
      <c r="AF15" s="50">
        <v>11</v>
      </c>
      <c r="AG15" s="55">
        <v>42</v>
      </c>
      <c r="AH15" s="52">
        <f t="shared" si="2"/>
        <v>11</v>
      </c>
      <c r="AI15" s="53">
        <f t="shared" si="3"/>
        <v>11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14</v>
      </c>
      <c r="C16" s="50">
        <v>14</v>
      </c>
      <c r="D16" s="50">
        <v>14</v>
      </c>
      <c r="E16" s="50">
        <v>14</v>
      </c>
      <c r="F16" s="50">
        <v>14</v>
      </c>
      <c r="G16" s="50">
        <v>14</v>
      </c>
      <c r="H16" s="50">
        <v>14</v>
      </c>
      <c r="I16" s="50">
        <v>14</v>
      </c>
      <c r="J16" s="50">
        <v>14</v>
      </c>
      <c r="K16" s="50">
        <v>14</v>
      </c>
      <c r="L16" s="50">
        <v>14</v>
      </c>
      <c r="M16" s="50">
        <v>14</v>
      </c>
      <c r="N16" s="50">
        <v>14</v>
      </c>
      <c r="O16" s="50">
        <v>14</v>
      </c>
      <c r="P16" s="50">
        <v>14</v>
      </c>
      <c r="Q16" s="50">
        <v>14</v>
      </c>
      <c r="R16" s="50">
        <v>14</v>
      </c>
      <c r="S16" s="50">
        <v>14</v>
      </c>
      <c r="T16" s="50">
        <v>14</v>
      </c>
      <c r="U16" s="50">
        <v>14</v>
      </c>
      <c r="V16" s="50">
        <v>14</v>
      </c>
      <c r="W16" s="50">
        <v>14</v>
      </c>
      <c r="X16" s="50">
        <v>14</v>
      </c>
      <c r="Y16" s="50">
        <v>14</v>
      </c>
      <c r="Z16" s="50">
        <v>14</v>
      </c>
      <c r="AA16" s="50">
        <v>14</v>
      </c>
      <c r="AB16" s="50">
        <v>14</v>
      </c>
      <c r="AC16" s="50">
        <v>14</v>
      </c>
      <c r="AD16" s="50">
        <v>14</v>
      </c>
      <c r="AE16" s="50">
        <v>14</v>
      </c>
      <c r="AF16" s="50">
        <v>14</v>
      </c>
      <c r="AG16" s="55">
        <v>36</v>
      </c>
      <c r="AH16" s="52">
        <f t="shared" si="2"/>
        <v>14</v>
      </c>
      <c r="AI16" s="53">
        <f t="shared" si="3"/>
        <v>14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10.9</v>
      </c>
      <c r="C18" s="50">
        <v>10.9</v>
      </c>
      <c r="D18" s="50">
        <v>10.9</v>
      </c>
      <c r="E18" s="50">
        <v>10.9</v>
      </c>
      <c r="F18" s="50">
        <v>10.9</v>
      </c>
      <c r="G18" s="50">
        <v>10.9</v>
      </c>
      <c r="H18" s="50">
        <v>10.9</v>
      </c>
      <c r="I18" s="50">
        <v>10.9</v>
      </c>
      <c r="J18" s="50">
        <v>10.9</v>
      </c>
      <c r="K18" s="50">
        <v>10.9</v>
      </c>
      <c r="L18" s="50">
        <v>10.9</v>
      </c>
      <c r="M18" s="50">
        <v>10.9</v>
      </c>
      <c r="N18" s="50">
        <v>10.9</v>
      </c>
      <c r="O18" s="50">
        <v>10.9</v>
      </c>
      <c r="P18" s="50">
        <v>10.9</v>
      </c>
      <c r="Q18" s="50">
        <v>10.9</v>
      </c>
      <c r="R18" s="50">
        <v>10.9</v>
      </c>
      <c r="S18" s="50">
        <v>10.9</v>
      </c>
      <c r="T18" s="50">
        <v>10.9</v>
      </c>
      <c r="U18" s="50">
        <v>10.9</v>
      </c>
      <c r="V18" s="50">
        <v>10.9</v>
      </c>
      <c r="W18" s="50">
        <v>10.9</v>
      </c>
      <c r="X18" s="50">
        <v>10.9</v>
      </c>
      <c r="Y18" s="50">
        <v>10.9</v>
      </c>
      <c r="Z18" s="50">
        <v>10.9</v>
      </c>
      <c r="AA18" s="50">
        <v>10.9</v>
      </c>
      <c r="AB18" s="50">
        <v>10.9</v>
      </c>
      <c r="AC18" s="50">
        <v>10.9</v>
      </c>
      <c r="AD18" s="50">
        <v>10.9</v>
      </c>
      <c r="AE18" s="50">
        <v>10.199999999999999</v>
      </c>
      <c r="AF18" s="50">
        <v>9.8000000000000007</v>
      </c>
      <c r="AG18" s="56">
        <v>30</v>
      </c>
      <c r="AH18" s="52">
        <f t="shared" si="2"/>
        <v>10.9</v>
      </c>
      <c r="AI18" s="53">
        <f t="shared" si="3"/>
        <v>9.8000000000000007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6.6</v>
      </c>
      <c r="C19" s="50">
        <v>6.6</v>
      </c>
      <c r="D19" s="50">
        <v>6.6</v>
      </c>
      <c r="E19" s="50">
        <v>6.6</v>
      </c>
      <c r="F19" s="50">
        <v>6.6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6.6</v>
      </c>
      <c r="N19" s="50">
        <v>6.6</v>
      </c>
      <c r="O19" s="50">
        <v>6.6</v>
      </c>
      <c r="P19" s="50">
        <v>6.6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6.6</v>
      </c>
      <c r="AA19" s="50">
        <v>6.6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6.6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0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5">
        <v>28</v>
      </c>
      <c r="AH20" s="52">
        <f t="shared" si="2"/>
        <v>0</v>
      </c>
      <c r="AI20" s="53">
        <f t="shared" si="3"/>
        <v>0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6.5</v>
      </c>
      <c r="C21" s="50">
        <v>6.5</v>
      </c>
      <c r="D21" s="50">
        <v>6.5</v>
      </c>
      <c r="E21" s="50">
        <v>6.5</v>
      </c>
      <c r="F21" s="50">
        <v>6.5</v>
      </c>
      <c r="G21" s="50">
        <v>6.5</v>
      </c>
      <c r="H21" s="50">
        <v>6.5</v>
      </c>
      <c r="I21" s="50">
        <v>6.5</v>
      </c>
      <c r="J21" s="50">
        <v>6.5</v>
      </c>
      <c r="K21" s="50">
        <v>6.5</v>
      </c>
      <c r="L21" s="50">
        <v>6.5</v>
      </c>
      <c r="M21" s="50">
        <v>6.5</v>
      </c>
      <c r="N21" s="50">
        <v>6.5</v>
      </c>
      <c r="O21" s="50">
        <v>6.5</v>
      </c>
      <c r="P21" s="50">
        <v>6.5</v>
      </c>
      <c r="Q21" s="50">
        <v>6.5</v>
      </c>
      <c r="R21" s="50">
        <v>6.5</v>
      </c>
      <c r="S21" s="50">
        <v>6.5</v>
      </c>
      <c r="T21" s="50">
        <v>6.5</v>
      </c>
      <c r="U21" s="50">
        <v>6.5</v>
      </c>
      <c r="V21" s="50">
        <v>6.5</v>
      </c>
      <c r="W21" s="50">
        <v>6.5</v>
      </c>
      <c r="X21" s="50">
        <v>6.5</v>
      </c>
      <c r="Y21" s="50">
        <v>6.5</v>
      </c>
      <c r="Z21" s="50">
        <v>6.5</v>
      </c>
      <c r="AA21" s="50">
        <v>6.5</v>
      </c>
      <c r="AB21" s="50">
        <v>6.5</v>
      </c>
      <c r="AC21" s="50">
        <v>6.5</v>
      </c>
      <c r="AD21" s="50">
        <v>6.5</v>
      </c>
      <c r="AE21" s="50">
        <v>6.5</v>
      </c>
      <c r="AF21" s="50">
        <v>6.5</v>
      </c>
      <c r="AG21" s="56">
        <v>30</v>
      </c>
      <c r="AH21" s="52">
        <f t="shared" si="2"/>
        <v>6.5</v>
      </c>
      <c r="AI21" s="53">
        <f t="shared" si="3"/>
        <v>6.5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9.6999999999999993</v>
      </c>
      <c r="C22" s="50">
        <v>9.6999999999999993</v>
      </c>
      <c r="D22" s="50">
        <v>9.6999999999999993</v>
      </c>
      <c r="E22" s="50">
        <v>9.6999999999999993</v>
      </c>
      <c r="F22" s="50">
        <v>9.6999999999999993</v>
      </c>
      <c r="G22" s="50">
        <v>9.6999999999999993</v>
      </c>
      <c r="H22" s="50">
        <v>9.6999999999999993</v>
      </c>
      <c r="I22" s="50">
        <v>9.6999999999999993</v>
      </c>
      <c r="J22" s="50">
        <v>9.6999999999999993</v>
      </c>
      <c r="K22" s="50">
        <v>9.6999999999999993</v>
      </c>
      <c r="L22" s="50">
        <v>9.6999999999999993</v>
      </c>
      <c r="M22" s="50">
        <v>9.6999999999999993</v>
      </c>
      <c r="N22" s="50">
        <v>9.6999999999999993</v>
      </c>
      <c r="O22" s="50">
        <v>9.6999999999999993</v>
      </c>
      <c r="P22" s="50">
        <v>9.6999999999999993</v>
      </c>
      <c r="Q22" s="50">
        <v>9.6999999999999993</v>
      </c>
      <c r="R22" s="50">
        <v>9.6999999999999993</v>
      </c>
      <c r="S22" s="50">
        <v>9.6999999999999993</v>
      </c>
      <c r="T22" s="50">
        <v>9.6999999999999993</v>
      </c>
      <c r="U22" s="50">
        <v>9.6999999999999993</v>
      </c>
      <c r="V22" s="50">
        <v>9.6999999999999993</v>
      </c>
      <c r="W22" s="50">
        <v>9.6999999999999993</v>
      </c>
      <c r="X22" s="50">
        <v>9.6999999999999993</v>
      </c>
      <c r="Y22" s="50">
        <v>9.6999999999999993</v>
      </c>
      <c r="Z22" s="50">
        <v>9.6999999999999993</v>
      </c>
      <c r="AA22" s="50">
        <v>9.6999999999999993</v>
      </c>
      <c r="AB22" s="50">
        <v>9.6999999999999993</v>
      </c>
      <c r="AC22" s="50">
        <v>9.6999999999999993</v>
      </c>
      <c r="AD22" s="50">
        <v>9.6999999999999993</v>
      </c>
      <c r="AE22" s="50">
        <v>10.3</v>
      </c>
      <c r="AF22" s="50">
        <v>10.3</v>
      </c>
      <c r="AG22" s="55">
        <v>25</v>
      </c>
      <c r="AH22" s="52">
        <f t="shared" si="2"/>
        <v>10.3</v>
      </c>
      <c r="AI22" s="53">
        <f t="shared" si="3"/>
        <v>9.6999999999999993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5">
        <v>25</v>
      </c>
      <c r="AH23" s="52">
        <f t="shared" si="2"/>
        <v>9</v>
      </c>
      <c r="AI23" s="53">
        <f t="shared" si="3"/>
        <v>9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5.8</v>
      </c>
      <c r="C26" s="50">
        <v>5.8</v>
      </c>
      <c r="D26" s="50">
        <v>5.8</v>
      </c>
      <c r="E26" s="50">
        <v>5.8</v>
      </c>
      <c r="F26" s="50">
        <v>5.8</v>
      </c>
      <c r="G26" s="50">
        <v>5.8</v>
      </c>
      <c r="H26" s="50">
        <v>5.8</v>
      </c>
      <c r="I26" s="50">
        <v>5.8</v>
      </c>
      <c r="J26" s="50">
        <v>5.8</v>
      </c>
      <c r="K26" s="50">
        <v>5.8</v>
      </c>
      <c r="L26" s="50">
        <v>5.8</v>
      </c>
      <c r="M26" s="50">
        <v>5.8</v>
      </c>
      <c r="N26" s="50">
        <v>5.8</v>
      </c>
      <c r="O26" s="50">
        <v>5.8</v>
      </c>
      <c r="P26" s="50">
        <v>5.8</v>
      </c>
      <c r="Q26" s="50">
        <v>5.8</v>
      </c>
      <c r="R26" s="50">
        <v>5.8</v>
      </c>
      <c r="S26" s="50">
        <v>5.8</v>
      </c>
      <c r="T26" s="50">
        <v>5.8</v>
      </c>
      <c r="U26" s="50">
        <v>5.8</v>
      </c>
      <c r="V26" s="50">
        <v>5.8</v>
      </c>
      <c r="W26" s="50">
        <v>5.8</v>
      </c>
      <c r="X26" s="50">
        <v>5.8</v>
      </c>
      <c r="Y26" s="50">
        <v>5.8</v>
      </c>
      <c r="Z26" s="50">
        <v>5.8</v>
      </c>
      <c r="AA26" s="50">
        <v>5.8</v>
      </c>
      <c r="AB26" s="50">
        <v>5.8</v>
      </c>
      <c r="AC26" s="50">
        <v>5.8</v>
      </c>
      <c r="AD26" s="50">
        <v>5.8</v>
      </c>
      <c r="AE26" s="50">
        <v>5.4</v>
      </c>
      <c r="AF26" s="50">
        <v>5.4</v>
      </c>
      <c r="AG26" s="55">
        <v>23.5</v>
      </c>
      <c r="AH26" s="52">
        <f t="shared" si="2"/>
        <v>5.8</v>
      </c>
      <c r="AI26" s="53">
        <f t="shared" si="3"/>
        <v>5.4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5">
        <v>22</v>
      </c>
      <c r="AH29" s="52">
        <f t="shared" si="2"/>
        <v>4</v>
      </c>
      <c r="AI29" s="53">
        <f t="shared" si="3"/>
        <v>4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5</v>
      </c>
      <c r="C30" s="50">
        <v>5</v>
      </c>
      <c r="D30" s="50">
        <v>5</v>
      </c>
      <c r="E30" s="50">
        <v>5</v>
      </c>
      <c r="F30" s="50">
        <v>5</v>
      </c>
      <c r="G30" s="50">
        <v>5</v>
      </c>
      <c r="H30" s="50">
        <v>5</v>
      </c>
      <c r="I30" s="50">
        <v>5</v>
      </c>
      <c r="J30" s="50">
        <v>5</v>
      </c>
      <c r="K30" s="50">
        <v>5</v>
      </c>
      <c r="L30" s="50">
        <v>5</v>
      </c>
      <c r="M30" s="50">
        <v>5</v>
      </c>
      <c r="N30" s="50">
        <v>5</v>
      </c>
      <c r="O30" s="50">
        <v>5</v>
      </c>
      <c r="P30" s="50">
        <v>5</v>
      </c>
      <c r="Q30" s="50">
        <v>5</v>
      </c>
      <c r="R30" s="50">
        <v>5</v>
      </c>
      <c r="S30" s="50">
        <v>5</v>
      </c>
      <c r="T30" s="50">
        <v>5</v>
      </c>
      <c r="U30" s="50">
        <v>5</v>
      </c>
      <c r="V30" s="50">
        <v>5</v>
      </c>
      <c r="W30" s="50">
        <v>5</v>
      </c>
      <c r="X30" s="50">
        <v>5</v>
      </c>
      <c r="Y30" s="50">
        <v>5</v>
      </c>
      <c r="Z30" s="50">
        <v>5</v>
      </c>
      <c r="AA30" s="50">
        <v>5</v>
      </c>
      <c r="AB30" s="50">
        <v>5</v>
      </c>
      <c r="AC30" s="50">
        <v>5</v>
      </c>
      <c r="AD30" s="50">
        <v>5</v>
      </c>
      <c r="AE30" s="50">
        <v>10</v>
      </c>
      <c r="AF30" s="50">
        <v>10</v>
      </c>
      <c r="AG30" s="55">
        <v>22</v>
      </c>
      <c r="AH30" s="52">
        <f t="shared" si="2"/>
        <v>10</v>
      </c>
      <c r="AI30" s="53">
        <f t="shared" si="3"/>
        <v>5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55">
        <v>20</v>
      </c>
      <c r="AH31" s="52">
        <f t="shared" si="2"/>
        <v>6</v>
      </c>
      <c r="AI31" s="53">
        <f t="shared" si="3"/>
        <v>6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>
        <v>4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5.2</v>
      </c>
      <c r="C38" s="50">
        <v>5.2</v>
      </c>
      <c r="D38" s="50">
        <v>5.2</v>
      </c>
      <c r="E38" s="50">
        <v>5.2</v>
      </c>
      <c r="F38" s="50">
        <v>5.2</v>
      </c>
      <c r="G38" s="50">
        <v>5.2</v>
      </c>
      <c r="H38" s="50">
        <v>5.2</v>
      </c>
      <c r="I38" s="50">
        <v>5.2</v>
      </c>
      <c r="J38" s="50">
        <v>5.2</v>
      </c>
      <c r="K38" s="50">
        <v>5.2</v>
      </c>
      <c r="L38" s="50">
        <v>5.2</v>
      </c>
      <c r="M38" s="50">
        <v>5.2</v>
      </c>
      <c r="N38" s="50">
        <v>5.2</v>
      </c>
      <c r="O38" s="50">
        <v>5.2</v>
      </c>
      <c r="P38" s="50">
        <v>5.2</v>
      </c>
      <c r="Q38" s="50">
        <v>5.2</v>
      </c>
      <c r="R38" s="50">
        <v>5.2</v>
      </c>
      <c r="S38" s="50">
        <v>5.2</v>
      </c>
      <c r="T38" s="50">
        <v>5.2</v>
      </c>
      <c r="U38" s="50">
        <v>5.2</v>
      </c>
      <c r="V38" s="50">
        <v>5.2</v>
      </c>
      <c r="W38" s="50">
        <v>5.2</v>
      </c>
      <c r="X38" s="50">
        <v>5.2</v>
      </c>
      <c r="Y38" s="50">
        <v>5.2</v>
      </c>
      <c r="Z38" s="50">
        <v>5.2</v>
      </c>
      <c r="AA38" s="50">
        <v>5.2</v>
      </c>
      <c r="AB38" s="50">
        <v>5.2</v>
      </c>
      <c r="AC38" s="50">
        <v>5.2</v>
      </c>
      <c r="AD38" s="50">
        <v>5.2</v>
      </c>
      <c r="AE38" s="50">
        <v>5.2</v>
      </c>
      <c r="AF38" s="50">
        <v>5.2</v>
      </c>
      <c r="AG38" s="55">
        <v>12</v>
      </c>
      <c r="AH38" s="52">
        <f t="shared" si="2"/>
        <v>5.2</v>
      </c>
      <c r="AI38" s="53">
        <f t="shared" si="3"/>
        <v>5.2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50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3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120</v>
      </c>
      <c r="C46" s="63">
        <v>120</v>
      </c>
      <c r="D46" s="63">
        <v>120</v>
      </c>
      <c r="E46" s="63">
        <v>120</v>
      </c>
      <c r="F46" s="63">
        <v>120</v>
      </c>
      <c r="G46" s="63">
        <v>120</v>
      </c>
      <c r="H46" s="63">
        <v>120</v>
      </c>
      <c r="I46" s="63">
        <v>120</v>
      </c>
      <c r="J46" s="63">
        <v>120</v>
      </c>
      <c r="K46" s="63">
        <v>120</v>
      </c>
      <c r="L46" s="63">
        <v>120</v>
      </c>
      <c r="M46" s="63">
        <v>120</v>
      </c>
      <c r="N46" s="63">
        <v>120</v>
      </c>
      <c r="O46" s="63">
        <v>120</v>
      </c>
      <c r="P46" s="63">
        <v>120</v>
      </c>
      <c r="Q46" s="63">
        <v>120</v>
      </c>
      <c r="R46" s="63">
        <v>120</v>
      </c>
      <c r="S46" s="63">
        <v>120</v>
      </c>
      <c r="T46" s="63">
        <v>120</v>
      </c>
      <c r="U46" s="63">
        <v>120</v>
      </c>
      <c r="V46" s="63">
        <v>120</v>
      </c>
      <c r="W46" s="63">
        <v>120</v>
      </c>
      <c r="X46" s="63">
        <v>120</v>
      </c>
      <c r="Y46" s="63">
        <v>120</v>
      </c>
      <c r="Z46" s="63">
        <v>120</v>
      </c>
      <c r="AA46" s="63">
        <v>120</v>
      </c>
      <c r="AB46" s="63">
        <v>120</v>
      </c>
      <c r="AC46" s="63">
        <v>120</v>
      </c>
      <c r="AD46" s="63">
        <v>120</v>
      </c>
      <c r="AE46" s="63">
        <v>120</v>
      </c>
      <c r="AF46" s="63">
        <v>120</v>
      </c>
      <c r="AG46" s="61">
        <v>85</v>
      </c>
      <c r="AH46" s="52">
        <f t="shared" si="2"/>
        <v>120</v>
      </c>
      <c r="AI46" s="53">
        <f t="shared" si="3"/>
        <v>120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 t="shared" ref="B48:AG48" si="4">SUM(B12:B46)</f>
        <v>356.5</v>
      </c>
      <c r="C48" s="67">
        <f t="shared" si="4"/>
        <v>356.5</v>
      </c>
      <c r="D48" s="67">
        <f t="shared" si="4"/>
        <v>356.5</v>
      </c>
      <c r="E48" s="67">
        <f t="shared" ref="E48:F48" si="5">SUM(E12:E46)</f>
        <v>356.5</v>
      </c>
      <c r="F48" s="67">
        <f t="shared" si="5"/>
        <v>356.5</v>
      </c>
      <c r="G48" s="67">
        <f t="shared" ref="G48:H48" si="6">SUM(G12:G46)</f>
        <v>356.5</v>
      </c>
      <c r="H48" s="67">
        <f t="shared" si="6"/>
        <v>356.5</v>
      </c>
      <c r="I48" s="67">
        <f t="shared" ref="I48:J48" si="7">SUM(I12:I46)</f>
        <v>356.5</v>
      </c>
      <c r="J48" s="67">
        <f t="shared" si="7"/>
        <v>356.5</v>
      </c>
      <c r="K48" s="67">
        <f t="shared" ref="K48" si="8">SUM(K12:K46)</f>
        <v>356.5</v>
      </c>
      <c r="L48" s="67">
        <f t="shared" si="4"/>
        <v>356.5</v>
      </c>
      <c r="M48" s="67">
        <f t="shared" si="4"/>
        <v>356.5</v>
      </c>
      <c r="N48" s="67">
        <f t="shared" si="4"/>
        <v>356.5</v>
      </c>
      <c r="O48" s="67">
        <f t="shared" si="4"/>
        <v>356.5</v>
      </c>
      <c r="P48" s="67">
        <f t="shared" si="4"/>
        <v>356.5</v>
      </c>
      <c r="Q48" s="67">
        <f t="shared" si="4"/>
        <v>356.5</v>
      </c>
      <c r="R48" s="67">
        <f t="shared" si="4"/>
        <v>356.5</v>
      </c>
      <c r="S48" s="67">
        <f t="shared" si="4"/>
        <v>356.5</v>
      </c>
      <c r="T48" s="67">
        <f t="shared" si="4"/>
        <v>356.5</v>
      </c>
      <c r="U48" s="67">
        <f t="shared" si="4"/>
        <v>356.5</v>
      </c>
      <c r="V48" s="67">
        <f t="shared" si="4"/>
        <v>356.5</v>
      </c>
      <c r="W48" s="67">
        <f t="shared" si="4"/>
        <v>356.5</v>
      </c>
      <c r="X48" s="67">
        <f t="shared" si="4"/>
        <v>356.5</v>
      </c>
      <c r="Y48" s="67">
        <f t="shared" si="4"/>
        <v>356.5</v>
      </c>
      <c r="Z48" s="67">
        <f>SUM(Z11:Z46)</f>
        <v>380.5</v>
      </c>
      <c r="AA48" s="67">
        <f t="shared" si="4"/>
        <v>356.5</v>
      </c>
      <c r="AB48" s="67">
        <f t="shared" si="4"/>
        <v>356.5</v>
      </c>
      <c r="AC48" s="67">
        <f t="shared" si="4"/>
        <v>356.5</v>
      </c>
      <c r="AD48" s="67">
        <f t="shared" si="4"/>
        <v>356.5</v>
      </c>
      <c r="AE48" s="67">
        <f t="shared" si="4"/>
        <v>359.59999999999997</v>
      </c>
      <c r="AF48" s="67">
        <f t="shared" si="4"/>
        <v>363.5</v>
      </c>
      <c r="AG48" s="68">
        <f t="shared" si="4"/>
        <v>875.68</v>
      </c>
      <c r="AH48" s="52">
        <f t="shared" si="2"/>
        <v>380.5</v>
      </c>
      <c r="AI48" s="53">
        <f t="shared" si="3"/>
        <v>356.5</v>
      </c>
      <c r="AK48" s="54"/>
    </row>
    <row r="49" spans="1:41" x14ac:dyDescent="0.25">
      <c r="A49" s="69" t="s">
        <v>57</v>
      </c>
      <c r="B49" s="50">
        <v>228</v>
      </c>
      <c r="C49" s="50">
        <v>228</v>
      </c>
      <c r="D49" s="50">
        <v>140</v>
      </c>
      <c r="E49" s="50">
        <v>140</v>
      </c>
      <c r="F49" s="50">
        <v>50</v>
      </c>
      <c r="G49" s="50">
        <v>50</v>
      </c>
      <c r="H49" s="50">
        <v>50</v>
      </c>
      <c r="I49" s="50">
        <v>15</v>
      </c>
      <c r="J49" s="50">
        <v>20</v>
      </c>
      <c r="K49" s="50">
        <v>20</v>
      </c>
      <c r="L49" s="50">
        <v>20</v>
      </c>
      <c r="M49" s="70">
        <v>55</v>
      </c>
      <c r="N49" s="70">
        <v>55</v>
      </c>
      <c r="O49" s="70">
        <v>55</v>
      </c>
      <c r="P49" s="70">
        <v>80</v>
      </c>
      <c r="Q49" s="50">
        <v>100</v>
      </c>
      <c r="R49" s="50">
        <v>100</v>
      </c>
      <c r="S49" s="50">
        <v>23</v>
      </c>
      <c r="T49" s="50">
        <v>21</v>
      </c>
      <c r="U49" s="50">
        <v>21</v>
      </c>
      <c r="V49" s="50">
        <v>60</v>
      </c>
      <c r="W49" s="50">
        <v>140</v>
      </c>
      <c r="X49" s="50">
        <v>140</v>
      </c>
      <c r="Y49" s="50">
        <v>150</v>
      </c>
      <c r="Z49" s="50">
        <v>180</v>
      </c>
      <c r="AA49" s="50">
        <v>160</v>
      </c>
      <c r="AB49" s="50">
        <v>160</v>
      </c>
      <c r="AC49" s="50">
        <v>160</v>
      </c>
      <c r="AD49" s="50">
        <v>160</v>
      </c>
      <c r="AE49" s="50">
        <v>140</v>
      </c>
      <c r="AF49" s="50">
        <v>100</v>
      </c>
      <c r="AG49" s="56">
        <v>456</v>
      </c>
      <c r="AH49" s="52">
        <f t="shared" si="2"/>
        <v>228</v>
      </c>
      <c r="AI49" s="53">
        <f t="shared" si="3"/>
        <v>15</v>
      </c>
      <c r="AK49" s="54"/>
    </row>
    <row r="50" spans="1:41" x14ac:dyDescent="0.25">
      <c r="A50" s="71" t="s">
        <v>58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25</v>
      </c>
      <c r="O50" s="72">
        <v>25</v>
      </c>
      <c r="P50" s="72">
        <v>25</v>
      </c>
      <c r="Q50" s="72">
        <v>25</v>
      </c>
      <c r="R50" s="72">
        <v>25</v>
      </c>
      <c r="S50" s="72">
        <v>25</v>
      </c>
      <c r="T50" s="72">
        <v>25</v>
      </c>
      <c r="U50" s="72">
        <v>25</v>
      </c>
      <c r="V50" s="72">
        <v>25</v>
      </c>
      <c r="W50" s="72">
        <v>25</v>
      </c>
      <c r="X50" s="72">
        <v>25</v>
      </c>
      <c r="Y50" s="72">
        <v>25</v>
      </c>
      <c r="Z50" s="72">
        <v>25</v>
      </c>
      <c r="AA50" s="72">
        <v>25</v>
      </c>
      <c r="AB50" s="72">
        <v>25</v>
      </c>
      <c r="AC50" s="72">
        <v>25</v>
      </c>
      <c r="AD50" s="72">
        <v>25</v>
      </c>
      <c r="AE50" s="72">
        <v>25</v>
      </c>
      <c r="AF50" s="72">
        <v>25</v>
      </c>
      <c r="AG50" s="61">
        <v>60</v>
      </c>
      <c r="AH50" s="52">
        <f t="shared" si="2"/>
        <v>25</v>
      </c>
      <c r="AI50" s="53">
        <f t="shared" si="3"/>
        <v>25</v>
      </c>
      <c r="AK50" s="54"/>
    </row>
    <row r="51" spans="1:41" ht="15.75" thickBot="1" x14ac:dyDescent="0.3">
      <c r="A51" s="73" t="s">
        <v>59</v>
      </c>
      <c r="B51" s="74">
        <v>12.7</v>
      </c>
      <c r="C51" s="74">
        <v>12.7</v>
      </c>
      <c r="D51" s="74">
        <v>12.7</v>
      </c>
      <c r="E51" s="74">
        <v>12.7</v>
      </c>
      <c r="F51" s="74">
        <v>12.7</v>
      </c>
      <c r="G51" s="74">
        <v>12.7</v>
      </c>
      <c r="H51" s="74">
        <v>12.7</v>
      </c>
      <c r="I51" s="74">
        <v>12.7</v>
      </c>
      <c r="J51" s="74">
        <v>12.7</v>
      </c>
      <c r="K51" s="74">
        <v>12.7</v>
      </c>
      <c r="L51" s="74">
        <v>12.7</v>
      </c>
      <c r="M51" s="74">
        <v>15.2</v>
      </c>
      <c r="N51" s="74">
        <v>15.2</v>
      </c>
      <c r="O51" s="74">
        <v>15.2</v>
      </c>
      <c r="P51" s="74">
        <v>15.2</v>
      </c>
      <c r="Q51" s="74">
        <v>15.2</v>
      </c>
      <c r="R51" s="74">
        <v>12.6</v>
      </c>
      <c r="S51" s="74">
        <v>12.6</v>
      </c>
      <c r="T51" s="74">
        <v>12.6</v>
      </c>
      <c r="U51" s="74">
        <v>12.6</v>
      </c>
      <c r="V51" s="74">
        <v>12.6</v>
      </c>
      <c r="W51" s="74">
        <v>12.6</v>
      </c>
      <c r="X51" s="74">
        <v>12.6</v>
      </c>
      <c r="Y51" s="74">
        <v>12.6</v>
      </c>
      <c r="Z51" s="74">
        <v>12.6</v>
      </c>
      <c r="AA51" s="74">
        <v>12.6</v>
      </c>
      <c r="AB51" s="74">
        <v>12.6</v>
      </c>
      <c r="AC51" s="74">
        <v>12.6</v>
      </c>
      <c r="AD51" s="74">
        <v>14.6</v>
      </c>
      <c r="AE51" s="74">
        <v>14.6</v>
      </c>
      <c r="AF51" s="74">
        <v>14.7</v>
      </c>
      <c r="AG51" s="75">
        <v>22.1</v>
      </c>
      <c r="AH51" s="52">
        <f t="shared" si="2"/>
        <v>15.2</v>
      </c>
      <c r="AI51" s="53">
        <f t="shared" si="3"/>
        <v>12.6</v>
      </c>
      <c r="AK51" s="54"/>
    </row>
    <row r="52" spans="1:41" ht="15.75" thickBot="1" x14ac:dyDescent="0.3">
      <c r="A52" s="76" t="s">
        <v>60</v>
      </c>
      <c r="B52" s="67">
        <f t="shared" ref="B52:AG52" si="9">SUM(B49:B51)</f>
        <v>265.7</v>
      </c>
      <c r="C52" s="67">
        <f t="shared" si="9"/>
        <v>265.7</v>
      </c>
      <c r="D52" s="67">
        <f t="shared" si="9"/>
        <v>177.7</v>
      </c>
      <c r="E52" s="67">
        <f t="shared" ref="E52:F52" si="10">SUM(E49:E51)</f>
        <v>177.7</v>
      </c>
      <c r="F52" s="67">
        <f t="shared" si="10"/>
        <v>87.7</v>
      </c>
      <c r="G52" s="67">
        <f t="shared" ref="G52" si="11">SUM(G49:G51)</f>
        <v>87.7</v>
      </c>
      <c r="H52" s="67">
        <f t="shared" si="9"/>
        <v>87.7</v>
      </c>
      <c r="I52" s="67">
        <f t="shared" si="9"/>
        <v>52.7</v>
      </c>
      <c r="J52" s="67">
        <f t="shared" si="9"/>
        <v>57.7</v>
      </c>
      <c r="K52" s="67">
        <f t="shared" ref="K52" si="12">SUM(K49:K51)</f>
        <v>57.7</v>
      </c>
      <c r="L52" s="67">
        <f t="shared" si="9"/>
        <v>57.7</v>
      </c>
      <c r="M52" s="67">
        <f t="shared" si="9"/>
        <v>95.2</v>
      </c>
      <c r="N52" s="67">
        <f t="shared" si="9"/>
        <v>95.2</v>
      </c>
      <c r="O52" s="67">
        <f t="shared" si="9"/>
        <v>95.2</v>
      </c>
      <c r="P52" s="67">
        <f t="shared" si="9"/>
        <v>120.2</v>
      </c>
      <c r="Q52" s="67">
        <f t="shared" si="9"/>
        <v>140.19999999999999</v>
      </c>
      <c r="R52" s="67">
        <f t="shared" si="9"/>
        <v>137.6</v>
      </c>
      <c r="S52" s="67">
        <f t="shared" si="9"/>
        <v>60.6</v>
      </c>
      <c r="T52" s="67">
        <f t="shared" si="9"/>
        <v>58.6</v>
      </c>
      <c r="U52" s="67">
        <f t="shared" si="9"/>
        <v>58.6</v>
      </c>
      <c r="V52" s="67">
        <f t="shared" si="9"/>
        <v>97.6</v>
      </c>
      <c r="W52" s="67">
        <f t="shared" si="9"/>
        <v>177.6</v>
      </c>
      <c r="X52" s="67">
        <f t="shared" si="9"/>
        <v>177.6</v>
      </c>
      <c r="Y52" s="67">
        <f t="shared" si="9"/>
        <v>187.6</v>
      </c>
      <c r="Z52" s="67">
        <f t="shared" si="9"/>
        <v>217.6</v>
      </c>
      <c r="AA52" s="67">
        <f t="shared" si="9"/>
        <v>197.6</v>
      </c>
      <c r="AB52" s="67">
        <f t="shared" si="9"/>
        <v>197.6</v>
      </c>
      <c r="AC52" s="67">
        <f t="shared" si="9"/>
        <v>197.6</v>
      </c>
      <c r="AD52" s="67">
        <f t="shared" si="9"/>
        <v>199.6</v>
      </c>
      <c r="AE52" s="67">
        <f t="shared" si="9"/>
        <v>179.6</v>
      </c>
      <c r="AF52" s="67">
        <f t="shared" si="9"/>
        <v>139.69999999999999</v>
      </c>
      <c r="AG52" s="68">
        <f t="shared" si="9"/>
        <v>538.1</v>
      </c>
      <c r="AH52" s="52">
        <f t="shared" si="2"/>
        <v>265.7</v>
      </c>
      <c r="AI52" s="53">
        <f t="shared" si="3"/>
        <v>52.7</v>
      </c>
      <c r="AK52" s="54"/>
    </row>
    <row r="53" spans="1:41" x14ac:dyDescent="0.25">
      <c r="A53" s="49" t="s">
        <v>61</v>
      </c>
      <c r="B53" s="50">
        <v>91</v>
      </c>
      <c r="C53" s="50">
        <v>91</v>
      </c>
      <c r="D53" s="50">
        <v>45</v>
      </c>
      <c r="E53" s="50">
        <v>45</v>
      </c>
      <c r="F53" s="50">
        <v>35.700000000000003</v>
      </c>
      <c r="G53" s="50">
        <v>48.8</v>
      </c>
      <c r="H53" s="50">
        <v>48.8</v>
      </c>
      <c r="I53" s="50">
        <v>55.3</v>
      </c>
      <c r="J53" s="50">
        <v>61.4</v>
      </c>
      <c r="K53" s="50">
        <v>61.4</v>
      </c>
      <c r="L53" s="50">
        <v>61.4</v>
      </c>
      <c r="M53" s="50">
        <v>60</v>
      </c>
      <c r="N53" s="50">
        <v>48.8</v>
      </c>
      <c r="O53" s="50">
        <v>48.8</v>
      </c>
      <c r="P53" s="50">
        <v>56.2</v>
      </c>
      <c r="Q53" s="50">
        <v>66.900000000000006</v>
      </c>
      <c r="R53" s="50">
        <v>81.400000000000006</v>
      </c>
      <c r="S53" s="50">
        <v>81.400000000000006</v>
      </c>
      <c r="T53" s="50">
        <v>91.3</v>
      </c>
      <c r="U53" s="50">
        <v>91.3</v>
      </c>
      <c r="V53" s="50">
        <v>91.3</v>
      </c>
      <c r="W53" s="50">
        <v>92.3</v>
      </c>
      <c r="X53" s="50">
        <v>92.3</v>
      </c>
      <c r="Y53" s="50">
        <v>92.3</v>
      </c>
      <c r="Z53" s="50">
        <v>97.6</v>
      </c>
      <c r="AA53" s="50">
        <v>97.6</v>
      </c>
      <c r="AB53" s="50">
        <v>97.6</v>
      </c>
      <c r="AC53" s="50">
        <v>97.5</v>
      </c>
      <c r="AD53" s="50">
        <v>60.6</v>
      </c>
      <c r="AE53" s="50">
        <v>49.4</v>
      </c>
      <c r="AF53" s="50">
        <v>40.9</v>
      </c>
      <c r="AG53" s="56">
        <v>144</v>
      </c>
      <c r="AH53" s="52">
        <f t="shared" si="2"/>
        <v>97.6</v>
      </c>
      <c r="AI53" s="53">
        <f t="shared" si="3"/>
        <v>35.700000000000003</v>
      </c>
      <c r="AK53" s="54"/>
    </row>
    <row r="54" spans="1:41" x14ac:dyDescent="0.25">
      <c r="A54" s="60" t="s">
        <v>62</v>
      </c>
      <c r="B54" s="72">
        <v>24</v>
      </c>
      <c r="C54" s="72">
        <v>24</v>
      </c>
      <c r="D54" s="72">
        <v>33</v>
      </c>
      <c r="E54" s="72">
        <v>33</v>
      </c>
      <c r="F54" s="72">
        <v>23.5</v>
      </c>
      <c r="G54" s="72">
        <v>24</v>
      </c>
      <c r="H54" s="72">
        <v>34</v>
      </c>
      <c r="I54" s="72">
        <v>34.5</v>
      </c>
      <c r="J54" s="72">
        <v>34.5</v>
      </c>
      <c r="K54" s="72">
        <v>34.5</v>
      </c>
      <c r="L54" s="72">
        <v>34.5</v>
      </c>
      <c r="M54" s="72">
        <v>0</v>
      </c>
      <c r="N54" s="72">
        <v>0</v>
      </c>
      <c r="O54" s="72">
        <v>0</v>
      </c>
      <c r="P54" s="72">
        <v>22.7</v>
      </c>
      <c r="Q54" s="72">
        <v>48.9</v>
      </c>
      <c r="R54" s="50">
        <v>66.400000000000006</v>
      </c>
      <c r="S54" s="50">
        <v>66.400000000000006</v>
      </c>
      <c r="T54" s="50">
        <v>66.400000000000006</v>
      </c>
      <c r="U54" s="50">
        <v>54.3</v>
      </c>
      <c r="V54" s="50">
        <v>22.3</v>
      </c>
      <c r="W54" s="50">
        <v>0</v>
      </c>
      <c r="X54" s="50">
        <v>20</v>
      </c>
      <c r="Y54" s="50">
        <v>20</v>
      </c>
      <c r="Z54" s="50">
        <v>58</v>
      </c>
      <c r="AA54" s="50">
        <v>68.400000000000006</v>
      </c>
      <c r="AB54" s="50">
        <v>56</v>
      </c>
      <c r="AC54" s="50">
        <v>55.5</v>
      </c>
      <c r="AD54" s="72">
        <v>57.2</v>
      </c>
      <c r="AE54" s="72">
        <v>44.3</v>
      </c>
      <c r="AF54" s="72">
        <v>34.799999999999997</v>
      </c>
      <c r="AG54" s="61">
        <v>70</v>
      </c>
      <c r="AH54" s="52">
        <f t="shared" si="2"/>
        <v>68.400000000000006</v>
      </c>
      <c r="AI54" s="53">
        <f t="shared" si="3"/>
        <v>0</v>
      </c>
      <c r="AK54" s="54"/>
    </row>
    <row r="55" spans="1:41" x14ac:dyDescent="0.25">
      <c r="A55" s="60" t="s">
        <v>63</v>
      </c>
      <c r="B55" s="72">
        <v>32</v>
      </c>
      <c r="C55" s="72">
        <v>32</v>
      </c>
      <c r="D55" s="72">
        <v>34</v>
      </c>
      <c r="E55" s="72">
        <v>34</v>
      </c>
      <c r="F55" s="72">
        <v>16</v>
      </c>
      <c r="G55" s="72">
        <v>23.4</v>
      </c>
      <c r="H55" s="72">
        <v>23.4</v>
      </c>
      <c r="I55" s="72">
        <v>15.7</v>
      </c>
      <c r="J55" s="72">
        <v>15.7</v>
      </c>
      <c r="K55" s="72">
        <v>15.7</v>
      </c>
      <c r="L55" s="72">
        <v>15.7</v>
      </c>
      <c r="M55" s="72">
        <v>33.799999999999997</v>
      </c>
      <c r="N55" s="72">
        <v>33.700000000000003</v>
      </c>
      <c r="O55" s="72">
        <v>33.700000000000003</v>
      </c>
      <c r="P55" s="72">
        <v>16.7</v>
      </c>
      <c r="Q55" s="72">
        <v>35.700000000000003</v>
      </c>
      <c r="R55" s="50">
        <v>34.9</v>
      </c>
      <c r="S55" s="50">
        <v>34.9</v>
      </c>
      <c r="T55" s="50">
        <v>46</v>
      </c>
      <c r="U55" s="50">
        <v>46</v>
      </c>
      <c r="V55" s="50">
        <v>22.1</v>
      </c>
      <c r="W55" s="50">
        <v>22.1</v>
      </c>
      <c r="X55" s="50">
        <v>34</v>
      </c>
      <c r="Y55" s="50">
        <v>21</v>
      </c>
      <c r="Z55" s="50">
        <v>44</v>
      </c>
      <c r="AA55" s="50">
        <v>62</v>
      </c>
      <c r="AB55" s="50">
        <v>60</v>
      </c>
      <c r="AC55" s="50">
        <v>60.4</v>
      </c>
      <c r="AD55" s="72">
        <v>60.4</v>
      </c>
      <c r="AE55" s="72">
        <v>60.1</v>
      </c>
      <c r="AF55" s="72">
        <v>51.5</v>
      </c>
      <c r="AG55" s="61">
        <v>69</v>
      </c>
      <c r="AH55" s="52">
        <f t="shared" si="2"/>
        <v>62</v>
      </c>
      <c r="AI55" s="53">
        <f t="shared" si="3"/>
        <v>15.7</v>
      </c>
      <c r="AK55" s="54"/>
    </row>
    <row r="56" spans="1:41" x14ac:dyDescent="0.25">
      <c r="A56" s="60" t="s">
        <v>64</v>
      </c>
      <c r="B56" s="72">
        <v>40</v>
      </c>
      <c r="C56" s="72">
        <v>40</v>
      </c>
      <c r="D56" s="72">
        <v>45.6</v>
      </c>
      <c r="E56" s="72">
        <v>45.6</v>
      </c>
      <c r="F56" s="72">
        <v>45.6</v>
      </c>
      <c r="G56" s="72">
        <v>45.6</v>
      </c>
      <c r="H56" s="72">
        <v>45.6</v>
      </c>
      <c r="I56" s="72">
        <v>50.4</v>
      </c>
      <c r="J56" s="72">
        <v>50.4</v>
      </c>
      <c r="K56" s="72">
        <v>50.4</v>
      </c>
      <c r="L56" s="72">
        <v>50.4</v>
      </c>
      <c r="M56" s="72">
        <v>50</v>
      </c>
      <c r="N56" s="72">
        <v>44.8</v>
      </c>
      <c r="O56" s="72">
        <v>44.8</v>
      </c>
      <c r="P56" s="72">
        <v>44.8</v>
      </c>
      <c r="Q56" s="72">
        <v>44.8</v>
      </c>
      <c r="R56" s="50">
        <v>45.1</v>
      </c>
      <c r="S56" s="50">
        <v>42.3</v>
      </c>
      <c r="T56" s="50">
        <v>42.3</v>
      </c>
      <c r="U56" s="50">
        <v>42.3</v>
      </c>
      <c r="V56" s="50">
        <v>42.3</v>
      </c>
      <c r="W56" s="50">
        <v>42.3</v>
      </c>
      <c r="X56" s="50">
        <v>42.3</v>
      </c>
      <c r="Y56" s="50">
        <v>42.3</v>
      </c>
      <c r="Z56" s="50">
        <v>42.3</v>
      </c>
      <c r="AA56" s="50">
        <v>42.3</v>
      </c>
      <c r="AB56" s="50">
        <v>42.3</v>
      </c>
      <c r="AC56" s="50">
        <v>41.1</v>
      </c>
      <c r="AD56" s="72">
        <v>42.1</v>
      </c>
      <c r="AE56" s="72">
        <v>44.1</v>
      </c>
      <c r="AF56" s="72">
        <v>44.1</v>
      </c>
      <c r="AG56" s="61">
        <v>60</v>
      </c>
      <c r="AH56" s="52">
        <f t="shared" si="2"/>
        <v>50.4</v>
      </c>
      <c r="AI56" s="53">
        <f t="shared" si="3"/>
        <v>40</v>
      </c>
      <c r="AK56" s="54"/>
    </row>
    <row r="57" spans="1:41" x14ac:dyDescent="0.25">
      <c r="A57" s="60" t="s">
        <v>65</v>
      </c>
      <c r="B57" s="72">
        <v>10</v>
      </c>
      <c r="C57" s="72">
        <v>10</v>
      </c>
      <c r="D57" s="72">
        <v>10</v>
      </c>
      <c r="E57" s="72">
        <v>10</v>
      </c>
      <c r="F57" s="72">
        <v>10</v>
      </c>
      <c r="G57" s="72">
        <v>10</v>
      </c>
      <c r="H57" s="72">
        <v>0</v>
      </c>
      <c r="I57" s="72">
        <v>0</v>
      </c>
      <c r="J57" s="72">
        <v>0</v>
      </c>
      <c r="K57" s="72">
        <v>0</v>
      </c>
      <c r="L57" s="72">
        <v>0</v>
      </c>
      <c r="M57" s="72">
        <v>10</v>
      </c>
      <c r="N57" s="72">
        <v>9</v>
      </c>
      <c r="O57" s="72">
        <v>9</v>
      </c>
      <c r="P57" s="72">
        <v>9</v>
      </c>
      <c r="Q57" s="72">
        <v>9</v>
      </c>
      <c r="R57" s="72">
        <v>9</v>
      </c>
      <c r="S57" s="72">
        <v>14.7</v>
      </c>
      <c r="T57" s="72">
        <v>14.7</v>
      </c>
      <c r="U57" s="72">
        <v>12</v>
      </c>
      <c r="V57" s="72">
        <v>12</v>
      </c>
      <c r="W57" s="72">
        <v>0</v>
      </c>
      <c r="X57" s="72">
        <v>0</v>
      </c>
      <c r="Y57" s="72">
        <v>0</v>
      </c>
      <c r="Z57" s="50">
        <v>15</v>
      </c>
      <c r="AA57" s="50">
        <v>19</v>
      </c>
      <c r="AB57" s="50">
        <v>19</v>
      </c>
      <c r="AC57" s="50">
        <v>19.600000000000001</v>
      </c>
      <c r="AD57" s="72">
        <v>18.2</v>
      </c>
      <c r="AE57" s="72">
        <v>9.1</v>
      </c>
      <c r="AF57" s="72">
        <v>9.1</v>
      </c>
      <c r="AG57" s="61">
        <v>30</v>
      </c>
      <c r="AH57" s="52">
        <f t="shared" si="2"/>
        <v>19.600000000000001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72">
        <v>5.6</v>
      </c>
      <c r="N58" s="72">
        <v>8.5</v>
      </c>
      <c r="O58" s="72">
        <v>8.5</v>
      </c>
      <c r="P58" s="72">
        <v>8.5</v>
      </c>
      <c r="Q58" s="72">
        <v>8.5</v>
      </c>
      <c r="R58" s="72">
        <v>8.5</v>
      </c>
      <c r="S58" s="72">
        <v>10.9</v>
      </c>
      <c r="T58" s="72">
        <v>10.9</v>
      </c>
      <c r="U58" s="72">
        <v>10.9</v>
      </c>
      <c r="V58" s="72">
        <v>0.9</v>
      </c>
      <c r="W58" s="72">
        <v>0.9</v>
      </c>
      <c r="X58" s="72">
        <v>0.9</v>
      </c>
      <c r="Y58" s="72">
        <v>0</v>
      </c>
      <c r="Z58" s="50">
        <v>0</v>
      </c>
      <c r="AA58" s="50">
        <v>0</v>
      </c>
      <c r="AB58" s="50">
        <v>0</v>
      </c>
      <c r="AC58" s="50">
        <v>0</v>
      </c>
      <c r="AD58" s="72">
        <v>0</v>
      </c>
      <c r="AE58" s="72">
        <v>0</v>
      </c>
      <c r="AF58" s="72">
        <v>0</v>
      </c>
      <c r="AG58" s="61">
        <v>25</v>
      </c>
      <c r="AH58" s="52">
        <f t="shared" si="2"/>
        <v>10.9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15</v>
      </c>
      <c r="C59" s="72">
        <v>15</v>
      </c>
      <c r="D59" s="72">
        <v>15</v>
      </c>
      <c r="E59" s="72">
        <v>15</v>
      </c>
      <c r="F59" s="72">
        <v>15</v>
      </c>
      <c r="G59" s="72">
        <v>15</v>
      </c>
      <c r="H59" s="72">
        <v>15</v>
      </c>
      <c r="I59" s="72">
        <v>15</v>
      </c>
      <c r="J59" s="72">
        <v>17</v>
      </c>
      <c r="K59" s="72">
        <v>17</v>
      </c>
      <c r="L59" s="72">
        <v>17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15</v>
      </c>
      <c r="S59" s="72">
        <v>15</v>
      </c>
      <c r="T59" s="72">
        <v>15</v>
      </c>
      <c r="U59" s="72">
        <v>15</v>
      </c>
      <c r="V59" s="72">
        <v>15</v>
      </c>
      <c r="W59" s="72">
        <v>15</v>
      </c>
      <c r="X59" s="72">
        <v>15</v>
      </c>
      <c r="Y59" s="72">
        <v>15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17</v>
      </c>
      <c r="AI59" s="53">
        <f t="shared" si="3"/>
        <v>15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7</v>
      </c>
      <c r="C61" s="72">
        <v>7</v>
      </c>
      <c r="D61" s="72">
        <v>7</v>
      </c>
      <c r="E61" s="72">
        <v>7</v>
      </c>
      <c r="F61" s="72">
        <v>7</v>
      </c>
      <c r="G61" s="72">
        <v>7</v>
      </c>
      <c r="H61" s="72">
        <v>7</v>
      </c>
      <c r="I61" s="72">
        <v>7</v>
      </c>
      <c r="J61" s="72">
        <v>7</v>
      </c>
      <c r="K61" s="72">
        <v>7</v>
      </c>
      <c r="L61" s="72">
        <v>7</v>
      </c>
      <c r="M61" s="72">
        <v>7</v>
      </c>
      <c r="N61" s="72">
        <v>7</v>
      </c>
      <c r="O61" s="72">
        <v>7</v>
      </c>
      <c r="P61" s="72">
        <v>7</v>
      </c>
      <c r="Q61" s="72">
        <v>7</v>
      </c>
      <c r="R61" s="72">
        <v>7</v>
      </c>
      <c r="S61" s="72">
        <v>9.6</v>
      </c>
      <c r="T61" s="72">
        <v>9.6</v>
      </c>
      <c r="U61" s="72">
        <v>9.6</v>
      </c>
      <c r="V61" s="72">
        <v>9.6</v>
      </c>
      <c r="W61" s="72">
        <v>9.6</v>
      </c>
      <c r="X61" s="72">
        <v>9.6</v>
      </c>
      <c r="Y61" s="72">
        <v>9.6</v>
      </c>
      <c r="Z61" s="72">
        <v>13.1</v>
      </c>
      <c r="AA61" s="72">
        <v>13.1</v>
      </c>
      <c r="AB61" s="72">
        <v>13.1</v>
      </c>
      <c r="AC61" s="72">
        <v>13.1</v>
      </c>
      <c r="AD61" s="72">
        <v>13.2</v>
      </c>
      <c r="AE61" s="72">
        <v>11.9</v>
      </c>
      <c r="AF61" s="72">
        <v>11.9</v>
      </c>
      <c r="AG61" s="61">
        <v>14.1</v>
      </c>
      <c r="AH61" s="52">
        <f t="shared" si="2"/>
        <v>13.2</v>
      </c>
      <c r="AI61" s="53">
        <f t="shared" si="3"/>
        <v>7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5.4</v>
      </c>
      <c r="C62" s="72">
        <v>5.4</v>
      </c>
      <c r="D62" s="72">
        <v>5.4</v>
      </c>
      <c r="E62" s="72">
        <v>5.4</v>
      </c>
      <c r="F62" s="72">
        <v>5.4</v>
      </c>
      <c r="G62" s="72">
        <v>5.4</v>
      </c>
      <c r="H62" s="72">
        <v>5.4</v>
      </c>
      <c r="I62" s="72">
        <v>5.4</v>
      </c>
      <c r="J62" s="72">
        <v>5.4</v>
      </c>
      <c r="K62" s="72">
        <v>5.4</v>
      </c>
      <c r="L62" s="72">
        <v>5.4</v>
      </c>
      <c r="M62" s="72">
        <v>5.4</v>
      </c>
      <c r="N62" s="72">
        <v>5.4</v>
      </c>
      <c r="O62" s="72">
        <v>5.4</v>
      </c>
      <c r="P62" s="72">
        <v>5.4</v>
      </c>
      <c r="Q62" s="72">
        <v>5.4</v>
      </c>
      <c r="R62" s="72">
        <v>5.4</v>
      </c>
      <c r="S62" s="72">
        <v>5</v>
      </c>
      <c r="T62" s="72">
        <v>5</v>
      </c>
      <c r="U62" s="72">
        <v>5</v>
      </c>
      <c r="V62" s="72">
        <v>5</v>
      </c>
      <c r="W62" s="72">
        <v>7</v>
      </c>
      <c r="X62" s="72">
        <v>7</v>
      </c>
      <c r="Y62" s="72">
        <v>7</v>
      </c>
      <c r="Z62" s="72">
        <v>5.3</v>
      </c>
      <c r="AA62" s="72">
        <v>5.3</v>
      </c>
      <c r="AB62" s="72">
        <v>5.3</v>
      </c>
      <c r="AC62" s="72">
        <v>5.3</v>
      </c>
      <c r="AD62" s="72">
        <v>3.1</v>
      </c>
      <c r="AE62" s="72">
        <v>6.8</v>
      </c>
      <c r="AF62" s="72">
        <v>6.8</v>
      </c>
      <c r="AG62" s="61">
        <v>14</v>
      </c>
      <c r="AH62" s="52">
        <f t="shared" si="2"/>
        <v>7</v>
      </c>
      <c r="AI62" s="53">
        <f t="shared" si="3"/>
        <v>3.1</v>
      </c>
      <c r="AK62" s="54"/>
    </row>
    <row r="63" spans="1:41" x14ac:dyDescent="0.25">
      <c r="A63" s="60" t="s">
        <v>71</v>
      </c>
      <c r="B63" s="72">
        <v>3.2</v>
      </c>
      <c r="C63" s="72">
        <v>3.2</v>
      </c>
      <c r="D63" s="72">
        <v>3.2</v>
      </c>
      <c r="E63" s="72">
        <v>3.2</v>
      </c>
      <c r="F63" s="72">
        <v>3.2</v>
      </c>
      <c r="G63" s="72">
        <v>3.2</v>
      </c>
      <c r="H63" s="72">
        <v>3.2</v>
      </c>
      <c r="I63" s="72">
        <v>3.2</v>
      </c>
      <c r="J63" s="72">
        <v>3.2</v>
      </c>
      <c r="K63" s="72">
        <v>3.2</v>
      </c>
      <c r="L63" s="72">
        <v>3.2</v>
      </c>
      <c r="M63" s="72">
        <v>3.2</v>
      </c>
      <c r="N63" s="72">
        <v>3.2</v>
      </c>
      <c r="O63" s="72">
        <v>3.2</v>
      </c>
      <c r="P63" s="72">
        <v>3.2</v>
      </c>
      <c r="Q63" s="72">
        <v>3.2</v>
      </c>
      <c r="R63" s="72">
        <v>3.2</v>
      </c>
      <c r="S63" s="72">
        <v>3.2</v>
      </c>
      <c r="T63" s="72">
        <v>3.2</v>
      </c>
      <c r="U63" s="72">
        <v>3.2</v>
      </c>
      <c r="V63" s="72">
        <v>3.2</v>
      </c>
      <c r="W63" s="72">
        <v>3.2</v>
      </c>
      <c r="X63" s="72">
        <v>3.2</v>
      </c>
      <c r="Y63" s="72">
        <v>3.2</v>
      </c>
      <c r="Z63" s="72">
        <v>3.2</v>
      </c>
      <c r="AA63" s="72">
        <v>3.2</v>
      </c>
      <c r="AB63" s="72">
        <v>3.2</v>
      </c>
      <c r="AC63" s="72">
        <v>3.2</v>
      </c>
      <c r="AD63" s="72">
        <v>3.3</v>
      </c>
      <c r="AE63" s="72">
        <v>3.3</v>
      </c>
      <c r="AF63" s="72">
        <v>3.3</v>
      </c>
      <c r="AG63" s="61">
        <v>10.050000000000001</v>
      </c>
      <c r="AH63" s="52">
        <f t="shared" si="2"/>
        <v>3.3</v>
      </c>
      <c r="AI63" s="53">
        <f t="shared" si="3"/>
        <v>3.2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:AG66" si="13">SUM(B53:B65)</f>
        <v>233.14</v>
      </c>
      <c r="C66" s="67">
        <f t="shared" si="13"/>
        <v>233.14</v>
      </c>
      <c r="D66" s="67">
        <f t="shared" si="13"/>
        <v>203.73999999999998</v>
      </c>
      <c r="E66" s="67">
        <f t="shared" ref="E66:F66" si="14">SUM(E53:E65)</f>
        <v>203.73999999999998</v>
      </c>
      <c r="F66" s="67">
        <f t="shared" si="14"/>
        <v>166.94</v>
      </c>
      <c r="G66" s="67">
        <f t="shared" ref="G66" si="15">SUM(G53:G65)</f>
        <v>187.93999999999997</v>
      </c>
      <c r="H66" s="67">
        <f t="shared" si="13"/>
        <v>187.93999999999997</v>
      </c>
      <c r="I66" s="67">
        <f t="shared" si="13"/>
        <v>192.04</v>
      </c>
      <c r="J66" s="67">
        <f t="shared" si="13"/>
        <v>200.14</v>
      </c>
      <c r="K66" s="67">
        <f t="shared" si="13"/>
        <v>200.14</v>
      </c>
      <c r="L66" s="67">
        <f t="shared" si="13"/>
        <v>200.14</v>
      </c>
      <c r="M66" s="67">
        <f t="shared" si="13"/>
        <v>195.54</v>
      </c>
      <c r="N66" s="67">
        <f t="shared" si="13"/>
        <v>180.94</v>
      </c>
      <c r="O66" s="67">
        <f t="shared" si="13"/>
        <v>180.94</v>
      </c>
      <c r="P66" s="67">
        <f t="shared" si="13"/>
        <v>194.04</v>
      </c>
      <c r="Q66" s="67">
        <f t="shared" si="13"/>
        <v>249.94</v>
      </c>
      <c r="R66" s="67">
        <f t="shared" si="13"/>
        <v>281.44</v>
      </c>
      <c r="S66" s="67">
        <f t="shared" si="13"/>
        <v>288.94000000000005</v>
      </c>
      <c r="T66" s="67">
        <f t="shared" si="13"/>
        <v>309.94</v>
      </c>
      <c r="U66" s="67">
        <f t="shared" si="13"/>
        <v>295.14</v>
      </c>
      <c r="V66" s="67">
        <f t="shared" si="13"/>
        <v>229.23999999999998</v>
      </c>
      <c r="W66" s="67">
        <f t="shared" si="13"/>
        <v>197.93999999999997</v>
      </c>
      <c r="X66" s="67">
        <f t="shared" si="13"/>
        <v>229.84</v>
      </c>
      <c r="Y66" s="67">
        <f t="shared" si="13"/>
        <v>215.94</v>
      </c>
      <c r="Z66" s="67">
        <f t="shared" si="13"/>
        <v>299.04000000000002</v>
      </c>
      <c r="AA66" s="67">
        <f t="shared" si="13"/>
        <v>331.44000000000005</v>
      </c>
      <c r="AB66" s="67">
        <f t="shared" si="13"/>
        <v>317.04000000000002</v>
      </c>
      <c r="AC66" s="67">
        <f t="shared" si="13"/>
        <v>316.24000000000007</v>
      </c>
      <c r="AD66" s="67">
        <f t="shared" si="13"/>
        <v>278.64000000000004</v>
      </c>
      <c r="AE66" s="67">
        <f t="shared" si="13"/>
        <v>249.54</v>
      </c>
      <c r="AF66" s="67">
        <f t="shared" si="13"/>
        <v>222.94</v>
      </c>
      <c r="AG66" s="68">
        <f t="shared" si="13"/>
        <v>489.91</v>
      </c>
      <c r="AH66" s="52">
        <f t="shared" si="2"/>
        <v>331.44000000000005</v>
      </c>
      <c r="AI66" s="53">
        <f t="shared" si="3"/>
        <v>166.94</v>
      </c>
      <c r="AK66" s="54"/>
    </row>
    <row r="67" spans="1:40" x14ac:dyDescent="0.25">
      <c r="A67" s="49" t="s">
        <v>75</v>
      </c>
      <c r="B67" s="50">
        <v>60</v>
      </c>
      <c r="C67" s="50">
        <v>60</v>
      </c>
      <c r="D67" s="50">
        <v>60</v>
      </c>
      <c r="E67" s="50">
        <v>60</v>
      </c>
      <c r="F67" s="50">
        <v>60</v>
      </c>
      <c r="G67" s="50">
        <v>60</v>
      </c>
      <c r="H67" s="50">
        <v>60</v>
      </c>
      <c r="I67" s="50">
        <v>60</v>
      </c>
      <c r="J67" s="50">
        <v>60</v>
      </c>
      <c r="K67" s="50">
        <v>60</v>
      </c>
      <c r="L67" s="50">
        <v>60</v>
      </c>
      <c r="M67" s="50">
        <v>60</v>
      </c>
      <c r="N67" s="50">
        <v>60</v>
      </c>
      <c r="O67" s="50">
        <v>60</v>
      </c>
      <c r="P67" s="50">
        <v>60</v>
      </c>
      <c r="Q67" s="50">
        <v>60</v>
      </c>
      <c r="R67" s="50">
        <v>60</v>
      </c>
      <c r="S67" s="50">
        <v>60</v>
      </c>
      <c r="T67" s="50">
        <v>60</v>
      </c>
      <c r="U67" s="50">
        <v>60</v>
      </c>
      <c r="V67" s="50">
        <v>60</v>
      </c>
      <c r="W67" s="50">
        <v>60</v>
      </c>
      <c r="X67" s="50">
        <v>60</v>
      </c>
      <c r="Y67" s="50">
        <v>60</v>
      </c>
      <c r="Z67" s="50">
        <v>60</v>
      </c>
      <c r="AA67" s="50">
        <v>60</v>
      </c>
      <c r="AB67" s="50">
        <v>60</v>
      </c>
      <c r="AC67" s="50">
        <v>60</v>
      </c>
      <c r="AD67" s="50">
        <v>60</v>
      </c>
      <c r="AE67" s="50">
        <v>60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60</v>
      </c>
      <c r="AK67" s="54"/>
    </row>
    <row r="68" spans="1:40" x14ac:dyDescent="0.25">
      <c r="A68" s="60" t="s">
        <v>76</v>
      </c>
      <c r="B68" s="72">
        <v>28.3</v>
      </c>
      <c r="C68" s="72">
        <v>28.3</v>
      </c>
      <c r="D68" s="72">
        <v>28.3</v>
      </c>
      <c r="E68" s="72">
        <v>28.3</v>
      </c>
      <c r="F68" s="72">
        <v>28.3</v>
      </c>
      <c r="G68" s="72">
        <v>28.3</v>
      </c>
      <c r="H68" s="72">
        <v>28.3</v>
      </c>
      <c r="I68" s="72">
        <v>28.5</v>
      </c>
      <c r="J68" s="72">
        <v>28.5</v>
      </c>
      <c r="K68" s="72">
        <v>28.5</v>
      </c>
      <c r="L68" s="72">
        <v>28.5</v>
      </c>
      <c r="M68" s="72">
        <v>28.5</v>
      </c>
      <c r="N68" s="72">
        <v>28.5</v>
      </c>
      <c r="O68" s="72">
        <v>28.5</v>
      </c>
      <c r="P68" s="72">
        <v>28.5</v>
      </c>
      <c r="Q68" s="72">
        <v>28.5</v>
      </c>
      <c r="R68" s="72">
        <v>28.5</v>
      </c>
      <c r="S68" s="72">
        <v>28.5</v>
      </c>
      <c r="T68" s="72">
        <v>28.5</v>
      </c>
      <c r="U68" s="72">
        <v>28.5</v>
      </c>
      <c r="V68" s="72">
        <v>28.5</v>
      </c>
      <c r="W68" s="72">
        <v>28.5</v>
      </c>
      <c r="X68" s="72">
        <v>28.5</v>
      </c>
      <c r="Y68" s="72">
        <v>28.5</v>
      </c>
      <c r="Z68" s="72">
        <v>28.5</v>
      </c>
      <c r="AA68" s="72">
        <v>28.5</v>
      </c>
      <c r="AB68" s="72">
        <v>28.5</v>
      </c>
      <c r="AC68" s="72">
        <v>28</v>
      </c>
      <c r="AD68" s="72">
        <v>28</v>
      </c>
      <c r="AE68" s="72">
        <v>28.5</v>
      </c>
      <c r="AF68" s="72">
        <v>28.5</v>
      </c>
      <c r="AG68" s="61">
        <v>32</v>
      </c>
      <c r="AH68" s="52">
        <f t="shared" si="2"/>
        <v>28.5</v>
      </c>
      <c r="AI68" s="53">
        <f t="shared" si="3"/>
        <v>28</v>
      </c>
      <c r="AK68" s="54"/>
    </row>
    <row r="69" spans="1:40" ht="15.75" thickBot="1" x14ac:dyDescent="0.3">
      <c r="A69" s="78" t="s">
        <v>77</v>
      </c>
      <c r="B69" s="74">
        <v>10.3</v>
      </c>
      <c r="C69" s="74">
        <v>10.3</v>
      </c>
      <c r="D69" s="74">
        <v>10.3</v>
      </c>
      <c r="E69" s="74">
        <v>10.3</v>
      </c>
      <c r="F69" s="74">
        <v>10.3</v>
      </c>
      <c r="G69" s="74">
        <v>10.3</v>
      </c>
      <c r="H69" s="74">
        <v>10.3</v>
      </c>
      <c r="I69" s="74">
        <v>10.4</v>
      </c>
      <c r="J69" s="74">
        <v>10.4</v>
      </c>
      <c r="K69" s="74">
        <v>10.4</v>
      </c>
      <c r="L69" s="74">
        <v>10.4</v>
      </c>
      <c r="M69" s="74">
        <v>10.4</v>
      </c>
      <c r="N69" s="74">
        <v>10.4</v>
      </c>
      <c r="O69" s="74">
        <v>10.4</v>
      </c>
      <c r="P69" s="74">
        <v>10.4</v>
      </c>
      <c r="Q69" s="74">
        <v>10.4</v>
      </c>
      <c r="R69" s="74">
        <v>10.4</v>
      </c>
      <c r="S69" s="74">
        <v>10.4</v>
      </c>
      <c r="T69" s="74">
        <v>10.4</v>
      </c>
      <c r="U69" s="74">
        <v>10.4</v>
      </c>
      <c r="V69" s="74">
        <v>10.4</v>
      </c>
      <c r="W69" s="74">
        <v>10.4</v>
      </c>
      <c r="X69" s="74">
        <v>10.4</v>
      </c>
      <c r="Y69" s="74">
        <v>10.4</v>
      </c>
      <c r="Z69" s="74">
        <v>10.4</v>
      </c>
      <c r="AA69" s="74">
        <v>10.4</v>
      </c>
      <c r="AB69" s="74">
        <v>10.4</v>
      </c>
      <c r="AC69" s="74">
        <v>10.199999999999999</v>
      </c>
      <c r="AD69" s="74">
        <v>10.199999999999999</v>
      </c>
      <c r="AE69" s="74">
        <v>10.4</v>
      </c>
      <c r="AF69" s="74">
        <v>10.4</v>
      </c>
      <c r="AG69" s="75">
        <v>14</v>
      </c>
      <c r="AH69" s="52">
        <f t="shared" si="2"/>
        <v>10.4</v>
      </c>
      <c r="AI69" s="53">
        <f t="shared" si="3"/>
        <v>10.199999999999999</v>
      </c>
      <c r="AK69" s="54"/>
    </row>
    <row r="70" spans="1:40" ht="15.75" thickBot="1" x14ac:dyDescent="0.3">
      <c r="A70" s="81" t="s">
        <v>78</v>
      </c>
      <c r="B70" s="67">
        <f>B67+B68+B69</f>
        <v>98.6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98.9</v>
      </c>
      <c r="M70" s="67">
        <f t="shared" ref="M70:AF70" si="16">M67+M68+M69</f>
        <v>98.9</v>
      </c>
      <c r="N70" s="67">
        <f t="shared" si="16"/>
        <v>98.9</v>
      </c>
      <c r="O70" s="67">
        <f t="shared" si="16"/>
        <v>98.9</v>
      </c>
      <c r="P70" s="67">
        <f t="shared" si="16"/>
        <v>98.9</v>
      </c>
      <c r="Q70" s="67">
        <f t="shared" si="16"/>
        <v>98.9</v>
      </c>
      <c r="R70" s="67">
        <f t="shared" si="16"/>
        <v>98.9</v>
      </c>
      <c r="S70" s="67">
        <f t="shared" si="16"/>
        <v>98.9</v>
      </c>
      <c r="T70" s="67">
        <f t="shared" si="16"/>
        <v>98.9</v>
      </c>
      <c r="U70" s="67">
        <f t="shared" si="16"/>
        <v>98.9</v>
      </c>
      <c r="V70" s="67">
        <f t="shared" si="16"/>
        <v>98.9</v>
      </c>
      <c r="W70" s="67">
        <f t="shared" si="16"/>
        <v>98.9</v>
      </c>
      <c r="X70" s="67">
        <f t="shared" si="16"/>
        <v>98.9</v>
      </c>
      <c r="Y70" s="67">
        <f t="shared" si="16"/>
        <v>98.9</v>
      </c>
      <c r="Z70" s="67">
        <f t="shared" si="16"/>
        <v>98.9</v>
      </c>
      <c r="AA70" s="67">
        <f t="shared" si="16"/>
        <v>98.9</v>
      </c>
      <c r="AB70" s="67">
        <f t="shared" si="16"/>
        <v>98.9</v>
      </c>
      <c r="AC70" s="67">
        <f t="shared" si="16"/>
        <v>98.2</v>
      </c>
      <c r="AD70" s="67">
        <f t="shared" si="16"/>
        <v>98.2</v>
      </c>
      <c r="AE70" s="67">
        <f t="shared" si="16"/>
        <v>98.9</v>
      </c>
      <c r="AF70" s="67">
        <f t="shared" si="16"/>
        <v>98.9</v>
      </c>
      <c r="AG70" s="68">
        <f>SUM(AG67:AG69)</f>
        <v>106</v>
      </c>
      <c r="AH70" s="52">
        <f t="shared" si="2"/>
        <v>98.9</v>
      </c>
      <c r="AI70" s="53">
        <f t="shared" si="3"/>
        <v>0</v>
      </c>
      <c r="AK70" s="54"/>
    </row>
    <row r="71" spans="1:40" x14ac:dyDescent="0.25">
      <c r="A71" s="49" t="s">
        <v>79</v>
      </c>
      <c r="B71" s="50">
        <v>73</v>
      </c>
      <c r="C71" s="50">
        <v>70</v>
      </c>
      <c r="D71" s="50">
        <v>73</v>
      </c>
      <c r="E71" s="50">
        <v>73</v>
      </c>
      <c r="F71" s="50">
        <v>60.7</v>
      </c>
      <c r="G71" s="50">
        <v>72.2</v>
      </c>
      <c r="H71" s="50">
        <v>72.3</v>
      </c>
      <c r="I71" s="50">
        <v>72.599999999999994</v>
      </c>
      <c r="J71" s="50">
        <v>65.900000000000006</v>
      </c>
      <c r="K71" s="50">
        <v>64</v>
      </c>
      <c r="L71" s="50">
        <v>64</v>
      </c>
      <c r="M71" s="50">
        <v>65</v>
      </c>
      <c r="N71" s="50">
        <v>75</v>
      </c>
      <c r="O71" s="50">
        <v>70.599999999999994</v>
      </c>
      <c r="P71" s="50">
        <v>71.5</v>
      </c>
      <c r="Q71" s="50">
        <v>71.2</v>
      </c>
      <c r="R71" s="50">
        <v>71.2</v>
      </c>
      <c r="S71" s="50">
        <v>75.8</v>
      </c>
      <c r="T71" s="50">
        <v>69.7</v>
      </c>
      <c r="U71" s="50">
        <v>75.400000000000006</v>
      </c>
      <c r="V71" s="50">
        <v>75.400000000000006</v>
      </c>
      <c r="W71" s="50">
        <v>67</v>
      </c>
      <c r="X71" s="50">
        <v>54</v>
      </c>
      <c r="Y71" s="50">
        <v>52</v>
      </c>
      <c r="Z71" s="50">
        <v>77</v>
      </c>
      <c r="AA71" s="50">
        <v>69</v>
      </c>
      <c r="AB71" s="50">
        <v>70.400000000000006</v>
      </c>
      <c r="AC71" s="50">
        <v>74</v>
      </c>
      <c r="AD71" s="50">
        <v>72.099999999999994</v>
      </c>
      <c r="AE71" s="50">
        <v>76.8</v>
      </c>
      <c r="AF71" s="50">
        <v>75</v>
      </c>
      <c r="AG71" s="56"/>
      <c r="AH71" s="52">
        <f t="shared" si="2"/>
        <v>77</v>
      </c>
      <c r="AI71" s="53">
        <f t="shared" si="3"/>
        <v>52</v>
      </c>
      <c r="AK71" s="54"/>
    </row>
    <row r="72" spans="1:40" x14ac:dyDescent="0.25">
      <c r="A72" s="60" t="s">
        <v>80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87.4</v>
      </c>
      <c r="T72" s="72">
        <v>91.3</v>
      </c>
      <c r="U72" s="72">
        <v>87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91.3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270</v>
      </c>
      <c r="C73" s="72">
        <v>275</v>
      </c>
      <c r="D73" s="72">
        <v>350</v>
      </c>
      <c r="E73" s="72">
        <v>350</v>
      </c>
      <c r="F73" s="72">
        <v>458</v>
      </c>
      <c r="G73" s="72">
        <v>450</v>
      </c>
      <c r="H73" s="72">
        <v>450</v>
      </c>
      <c r="I73" s="72">
        <v>369</v>
      </c>
      <c r="J73" s="72">
        <v>390</v>
      </c>
      <c r="K73" s="72">
        <v>400</v>
      </c>
      <c r="L73" s="72">
        <v>400</v>
      </c>
      <c r="M73" s="72">
        <v>400</v>
      </c>
      <c r="N73" s="72">
        <v>419.9</v>
      </c>
      <c r="O73" s="72">
        <v>425</v>
      </c>
      <c r="P73" s="72">
        <v>435.2</v>
      </c>
      <c r="Q73" s="72">
        <v>425</v>
      </c>
      <c r="R73" s="72">
        <v>425</v>
      </c>
      <c r="S73" s="72">
        <v>447</v>
      </c>
      <c r="T73" s="72">
        <v>441</v>
      </c>
      <c r="U73" s="72">
        <v>455</v>
      </c>
      <c r="V73" s="72">
        <v>336</v>
      </c>
      <c r="W73" s="72">
        <v>300</v>
      </c>
      <c r="X73" s="72">
        <v>298</v>
      </c>
      <c r="Y73" s="72">
        <v>346</v>
      </c>
      <c r="Z73" s="72">
        <v>352</v>
      </c>
      <c r="AA73" s="72">
        <v>355</v>
      </c>
      <c r="AB73" s="72">
        <v>367.6</v>
      </c>
      <c r="AC73" s="72">
        <v>340</v>
      </c>
      <c r="AD73" s="72">
        <v>343</v>
      </c>
      <c r="AE73" s="72">
        <v>300</v>
      </c>
      <c r="AF73" s="72">
        <v>301</v>
      </c>
      <c r="AG73" s="82"/>
      <c r="AH73" s="52">
        <f t="shared" si="2"/>
        <v>458</v>
      </c>
      <c r="AI73" s="53">
        <f t="shared" si="3"/>
        <v>270</v>
      </c>
      <c r="AK73" s="54"/>
    </row>
    <row r="74" spans="1:40" x14ac:dyDescent="0.25">
      <c r="A74" s="60" t="s">
        <v>82</v>
      </c>
      <c r="B74" s="72">
        <v>10</v>
      </c>
      <c r="C74" s="72">
        <v>10</v>
      </c>
      <c r="D74" s="72">
        <v>52</v>
      </c>
      <c r="E74" s="72">
        <v>52</v>
      </c>
      <c r="F74" s="72">
        <v>56.8</v>
      </c>
      <c r="G74" s="72">
        <v>56.8</v>
      </c>
      <c r="H74" s="72">
        <v>56.8</v>
      </c>
      <c r="I74" s="72">
        <v>56.8</v>
      </c>
      <c r="J74" s="72">
        <v>56.8</v>
      </c>
      <c r="K74" s="83">
        <v>48</v>
      </c>
      <c r="L74" s="83">
        <v>48</v>
      </c>
      <c r="M74" s="83">
        <v>50</v>
      </c>
      <c r="N74" s="83">
        <v>49.6</v>
      </c>
      <c r="O74" s="83">
        <v>49.6</v>
      </c>
      <c r="P74" s="83">
        <v>49.6</v>
      </c>
      <c r="Q74" s="83">
        <v>55.2</v>
      </c>
      <c r="R74" s="83">
        <v>55.2</v>
      </c>
      <c r="S74" s="83">
        <v>45.2</v>
      </c>
      <c r="T74" s="83">
        <v>50.2</v>
      </c>
      <c r="U74" s="83">
        <v>51</v>
      </c>
      <c r="V74" s="83">
        <v>51</v>
      </c>
      <c r="W74" s="83">
        <v>9.1999999999999993</v>
      </c>
      <c r="X74" s="83">
        <v>9.1999999999999993</v>
      </c>
      <c r="Y74" s="83">
        <v>9.1999999999999993</v>
      </c>
      <c r="Z74" s="72">
        <v>9.1999999999999993</v>
      </c>
      <c r="AA74" s="72">
        <v>9.1999999999999993</v>
      </c>
      <c r="AB74" s="72">
        <v>10</v>
      </c>
      <c r="AC74" s="72">
        <v>10</v>
      </c>
      <c r="AD74" s="72">
        <v>12</v>
      </c>
      <c r="AE74" s="72">
        <v>15</v>
      </c>
      <c r="AF74" s="72">
        <v>15</v>
      </c>
      <c r="AG74" s="82"/>
      <c r="AH74" s="52">
        <f t="shared" si="2"/>
        <v>56.8</v>
      </c>
      <c r="AI74" s="53">
        <f t="shared" si="3"/>
        <v>9.1999999999999993</v>
      </c>
      <c r="AK74" s="54"/>
    </row>
    <row r="75" spans="1:40" x14ac:dyDescent="0.25">
      <c r="A75" s="60" t="s">
        <v>83</v>
      </c>
      <c r="B75" s="50">
        <v>0</v>
      </c>
      <c r="C75" s="50">
        <v>0</v>
      </c>
      <c r="D75" s="50">
        <v>22</v>
      </c>
      <c r="E75" s="50">
        <v>22</v>
      </c>
      <c r="F75" s="50">
        <v>27.3</v>
      </c>
      <c r="G75" s="50">
        <v>27.3</v>
      </c>
      <c r="H75" s="50">
        <v>27.3</v>
      </c>
      <c r="I75" s="50">
        <v>27.3</v>
      </c>
      <c r="J75" s="50">
        <v>27.3</v>
      </c>
      <c r="K75" s="50">
        <v>12</v>
      </c>
      <c r="L75" s="50">
        <v>12</v>
      </c>
      <c r="M75" s="50">
        <v>0</v>
      </c>
      <c r="N75" s="50">
        <v>0</v>
      </c>
      <c r="O75" s="50">
        <v>0</v>
      </c>
      <c r="P75" s="50">
        <v>0</v>
      </c>
      <c r="Q75" s="50">
        <v>35.200000000000003</v>
      </c>
      <c r="R75" s="50">
        <v>35.200000000000003</v>
      </c>
      <c r="S75" s="50">
        <v>35.4</v>
      </c>
      <c r="T75" s="50">
        <v>36.799999999999997</v>
      </c>
      <c r="U75" s="50">
        <v>25.8</v>
      </c>
      <c r="V75" s="50">
        <v>0</v>
      </c>
      <c r="W75" s="50">
        <v>0</v>
      </c>
      <c r="X75" s="50">
        <v>0</v>
      </c>
      <c r="Y75" s="50">
        <v>0</v>
      </c>
      <c r="Z75" s="50">
        <v>0</v>
      </c>
      <c r="AA75" s="50">
        <v>0</v>
      </c>
      <c r="AB75" s="50">
        <v>0</v>
      </c>
      <c r="AC75" s="50">
        <v>0</v>
      </c>
      <c r="AD75" s="50">
        <v>0</v>
      </c>
      <c r="AE75" s="50">
        <v>0</v>
      </c>
      <c r="AF75" s="50">
        <v>0</v>
      </c>
      <c r="AG75" s="82"/>
      <c r="AH75" s="52">
        <f t="shared" ref="AH75:AH117" si="17">MAX(B75:AF75)</f>
        <v>36.799999999999997</v>
      </c>
      <c r="AI75" s="53">
        <f t="shared" ref="AI75:AI117" si="18">MIN(B75:AF75)</f>
        <v>0</v>
      </c>
      <c r="AK75" s="54"/>
    </row>
    <row r="76" spans="1:40" x14ac:dyDescent="0.25">
      <c r="A76" s="60" t="s">
        <v>84</v>
      </c>
      <c r="B76" s="84">
        <v>5</v>
      </c>
      <c r="C76" s="84">
        <v>5</v>
      </c>
      <c r="D76" s="84">
        <v>5</v>
      </c>
      <c r="E76" s="84">
        <v>5</v>
      </c>
      <c r="F76" s="84">
        <v>5</v>
      </c>
      <c r="G76" s="84">
        <v>5</v>
      </c>
      <c r="H76" s="84">
        <v>5</v>
      </c>
      <c r="I76" s="84">
        <v>5</v>
      </c>
      <c r="J76" s="84">
        <v>5</v>
      </c>
      <c r="K76" s="84">
        <v>5</v>
      </c>
      <c r="L76" s="84">
        <v>5</v>
      </c>
      <c r="M76" s="84">
        <v>5</v>
      </c>
      <c r="N76" s="84">
        <v>7</v>
      </c>
      <c r="O76" s="84">
        <v>7</v>
      </c>
      <c r="P76" s="84">
        <v>7</v>
      </c>
      <c r="Q76" s="84">
        <v>7</v>
      </c>
      <c r="R76" s="84">
        <v>7</v>
      </c>
      <c r="S76" s="84">
        <v>7</v>
      </c>
      <c r="T76" s="84">
        <v>7</v>
      </c>
      <c r="U76" s="84">
        <v>7</v>
      </c>
      <c r="V76" s="84">
        <v>7</v>
      </c>
      <c r="W76" s="84">
        <v>7</v>
      </c>
      <c r="X76" s="84">
        <v>7</v>
      </c>
      <c r="Y76" s="84">
        <v>7</v>
      </c>
      <c r="Z76" s="84">
        <v>7</v>
      </c>
      <c r="AA76" s="84">
        <v>7</v>
      </c>
      <c r="AB76" s="84">
        <v>7</v>
      </c>
      <c r="AC76" s="84">
        <v>7</v>
      </c>
      <c r="AD76" s="84">
        <v>7</v>
      </c>
      <c r="AE76" s="84">
        <v>7</v>
      </c>
      <c r="AF76" s="84">
        <v>7</v>
      </c>
      <c r="AG76" s="82"/>
      <c r="AH76" s="52">
        <f t="shared" si="17"/>
        <v>7</v>
      </c>
      <c r="AI76" s="53">
        <f t="shared" si="18"/>
        <v>5</v>
      </c>
      <c r="AK76" s="54"/>
    </row>
    <row r="77" spans="1:40" ht="15.75" thickBot="1" x14ac:dyDescent="0.3">
      <c r="A77" s="60" t="s">
        <v>85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7"/>
        <v>0</v>
      </c>
      <c r="AI77" s="53">
        <f t="shared" si="18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7"/>
        <v>0</v>
      </c>
      <c r="AI78" s="53">
        <f t="shared" si="18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5</v>
      </c>
      <c r="AB79" s="84">
        <v>5</v>
      </c>
      <c r="AC79" s="84">
        <v>5</v>
      </c>
      <c r="AD79" s="84">
        <v>5</v>
      </c>
      <c r="AE79" s="84">
        <v>5</v>
      </c>
      <c r="AF79" s="84">
        <v>5</v>
      </c>
      <c r="AG79" s="82"/>
      <c r="AH79" s="52">
        <f t="shared" si="17"/>
        <v>5</v>
      </c>
      <c r="AI79" s="53">
        <f t="shared" si="18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7"/>
        <v>0</v>
      </c>
      <c r="AI80" s="53">
        <f t="shared" si="18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7"/>
        <v>0</v>
      </c>
      <c r="AI81" s="53">
        <f t="shared" si="18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:AF82" si="19">SUMIF(B71:B81,"&gt;0")</f>
        <v>358</v>
      </c>
      <c r="C82" s="67">
        <f t="shared" si="19"/>
        <v>360</v>
      </c>
      <c r="D82" s="67">
        <f t="shared" si="19"/>
        <v>502</v>
      </c>
      <c r="E82" s="67">
        <f t="shared" ref="E82:F82" si="20">SUMIF(E71:E81,"&gt;0")</f>
        <v>502</v>
      </c>
      <c r="F82" s="67">
        <f t="shared" si="20"/>
        <v>607.79999999999995</v>
      </c>
      <c r="G82" s="67">
        <f t="shared" ref="G82" si="21">SUMIF(G71:G81,"&gt;0")</f>
        <v>611.29999999999995</v>
      </c>
      <c r="H82" s="67">
        <f t="shared" si="19"/>
        <v>611.39999999999986</v>
      </c>
      <c r="I82" s="67">
        <f t="shared" si="19"/>
        <v>530.70000000000005</v>
      </c>
      <c r="J82" s="67">
        <f t="shared" si="19"/>
        <v>544.99999999999989</v>
      </c>
      <c r="K82" s="67">
        <f t="shared" si="19"/>
        <v>529</v>
      </c>
      <c r="L82" s="67">
        <f t="shared" si="19"/>
        <v>529</v>
      </c>
      <c r="M82" s="67">
        <f t="shared" si="19"/>
        <v>520</v>
      </c>
      <c r="N82" s="67">
        <f t="shared" si="19"/>
        <v>551.5</v>
      </c>
      <c r="O82" s="67">
        <f t="shared" si="19"/>
        <v>552.20000000000005</v>
      </c>
      <c r="P82" s="67">
        <f t="shared" si="19"/>
        <v>563.29999999999995</v>
      </c>
      <c r="Q82" s="67">
        <f t="shared" si="19"/>
        <v>593.6</v>
      </c>
      <c r="R82" s="67">
        <f t="shared" si="19"/>
        <v>593.6</v>
      </c>
      <c r="S82" s="67">
        <f t="shared" si="19"/>
        <v>697.80000000000007</v>
      </c>
      <c r="T82" s="67">
        <f t="shared" si="19"/>
        <v>696</v>
      </c>
      <c r="U82" s="67">
        <f t="shared" si="19"/>
        <v>701.19999999999993</v>
      </c>
      <c r="V82" s="67">
        <f t="shared" si="19"/>
        <v>469.4</v>
      </c>
      <c r="W82" s="67">
        <f t="shared" si="19"/>
        <v>383.2</v>
      </c>
      <c r="X82" s="67">
        <f t="shared" si="19"/>
        <v>368.2</v>
      </c>
      <c r="Y82" s="67">
        <f t="shared" si="19"/>
        <v>414.2</v>
      </c>
      <c r="Z82" s="67">
        <f t="shared" si="19"/>
        <v>445.2</v>
      </c>
      <c r="AA82" s="67">
        <f t="shared" si="19"/>
        <v>445.2</v>
      </c>
      <c r="AB82" s="67">
        <f t="shared" si="19"/>
        <v>460</v>
      </c>
      <c r="AC82" s="67">
        <f t="shared" si="19"/>
        <v>436</v>
      </c>
      <c r="AD82" s="67">
        <f t="shared" si="19"/>
        <v>439.1</v>
      </c>
      <c r="AE82" s="67">
        <f t="shared" si="19"/>
        <v>403.8</v>
      </c>
      <c r="AF82" s="67">
        <f t="shared" si="19"/>
        <v>403</v>
      </c>
      <c r="AG82" s="95">
        <f>SUM(AG71:AG81)</f>
        <v>0</v>
      </c>
      <c r="AH82" s="52">
        <f t="shared" si="17"/>
        <v>701.19999999999993</v>
      </c>
      <c r="AI82" s="53">
        <f t="shared" si="18"/>
        <v>358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7"/>
        <v>0</v>
      </c>
      <c r="AI83" s="53">
        <f t="shared" si="18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7"/>
        <v>0</v>
      </c>
      <c r="AI84" s="53">
        <f t="shared" si="18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7"/>
        <v>0</v>
      </c>
      <c r="AI85" s="53">
        <f t="shared" si="18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7"/>
        <v>0</v>
      </c>
      <c r="AI86" s="53">
        <f t="shared" si="18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:AG87" si="22">B48+B52+B70+B66+B82+B86</f>
        <v>1311.94</v>
      </c>
      <c r="C87" s="102">
        <f t="shared" si="22"/>
        <v>1215.3400000000001</v>
      </c>
      <c r="D87" s="102">
        <f t="shared" si="22"/>
        <v>1239.94</v>
      </c>
      <c r="E87" s="102">
        <f t="shared" si="22"/>
        <v>1239.94</v>
      </c>
      <c r="F87" s="102">
        <f t="shared" si="22"/>
        <v>1218.94</v>
      </c>
      <c r="G87" s="102">
        <f t="shared" ref="G87" si="23">G48+G52+G70+G66+G82+G86</f>
        <v>1243.44</v>
      </c>
      <c r="H87" s="102">
        <f t="shared" si="22"/>
        <v>1243.54</v>
      </c>
      <c r="I87" s="102">
        <f t="shared" si="22"/>
        <v>1131.94</v>
      </c>
      <c r="J87" s="102">
        <f t="shared" si="22"/>
        <v>1159.3399999999997</v>
      </c>
      <c r="K87" s="102">
        <f t="shared" si="22"/>
        <v>1143.3399999999999</v>
      </c>
      <c r="L87" s="102">
        <f t="shared" si="22"/>
        <v>1242.24</v>
      </c>
      <c r="M87" s="102">
        <f t="shared" si="22"/>
        <v>1266.1399999999999</v>
      </c>
      <c r="N87" s="102">
        <f t="shared" si="22"/>
        <v>1283.04</v>
      </c>
      <c r="O87" s="102">
        <f t="shared" si="22"/>
        <v>1283.74</v>
      </c>
      <c r="P87" s="102">
        <f t="shared" si="22"/>
        <v>1332.94</v>
      </c>
      <c r="Q87" s="102">
        <f t="shared" si="22"/>
        <v>1439.1399999999999</v>
      </c>
      <c r="R87" s="102">
        <f t="shared" si="22"/>
        <v>1468.04</v>
      </c>
      <c r="S87" s="102">
        <f t="shared" si="22"/>
        <v>1502.7400000000002</v>
      </c>
      <c r="T87" s="102">
        <f t="shared" si="22"/>
        <v>1519.94</v>
      </c>
      <c r="U87" s="102">
        <f t="shared" si="22"/>
        <v>1510.34</v>
      </c>
      <c r="V87" s="102">
        <f t="shared" si="22"/>
        <v>1251.6399999999999</v>
      </c>
      <c r="W87" s="102">
        <f t="shared" si="22"/>
        <v>1214.1399999999999</v>
      </c>
      <c r="X87" s="102">
        <f t="shared" si="22"/>
        <v>1231.04</v>
      </c>
      <c r="Y87" s="102">
        <f t="shared" si="22"/>
        <v>1273.1400000000001</v>
      </c>
      <c r="Z87" s="102">
        <f t="shared" si="22"/>
        <v>1441.24</v>
      </c>
      <c r="AA87" s="102">
        <f t="shared" si="22"/>
        <v>1429.64</v>
      </c>
      <c r="AB87" s="102">
        <f t="shared" si="22"/>
        <v>1430.04</v>
      </c>
      <c r="AC87" s="102">
        <f t="shared" si="22"/>
        <v>1404.5400000000002</v>
      </c>
      <c r="AD87" s="102">
        <f t="shared" si="22"/>
        <v>1372.04</v>
      </c>
      <c r="AE87" s="102">
        <f t="shared" si="22"/>
        <v>1291.4399999999998</v>
      </c>
      <c r="AF87" s="102">
        <f t="shared" si="22"/>
        <v>1228.04</v>
      </c>
      <c r="AG87" s="68">
        <f t="shared" si="22"/>
        <v>2065.09</v>
      </c>
      <c r="AH87" s="52">
        <f>MAX(B87:AF87)</f>
        <v>1519.94</v>
      </c>
      <c r="AI87" s="53">
        <f>MIN(B87:AF87)</f>
        <v>1131.94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>
        <v>100</v>
      </c>
      <c r="C88" s="104">
        <v>100</v>
      </c>
      <c r="D88" s="104">
        <v>20</v>
      </c>
      <c r="E88" s="104">
        <v>20</v>
      </c>
      <c r="F88" s="104">
        <v>20</v>
      </c>
      <c r="G88" s="104">
        <v>0</v>
      </c>
      <c r="H88" s="104"/>
      <c r="I88" s="104">
        <v>150</v>
      </c>
      <c r="J88" s="104">
        <v>150</v>
      </c>
      <c r="K88" s="104">
        <v>150</v>
      </c>
      <c r="L88" s="104">
        <v>150</v>
      </c>
      <c r="M88" s="104">
        <v>250</v>
      </c>
      <c r="N88" s="104">
        <v>250</v>
      </c>
      <c r="O88" s="104">
        <v>250</v>
      </c>
      <c r="P88" s="104">
        <v>250</v>
      </c>
      <c r="Q88" s="104">
        <v>125</v>
      </c>
      <c r="R88" s="104">
        <v>125</v>
      </c>
      <c r="S88" s="104">
        <v>125</v>
      </c>
      <c r="T88" s="104">
        <v>125</v>
      </c>
      <c r="U88" s="104">
        <v>125</v>
      </c>
      <c r="V88" s="104">
        <v>300</v>
      </c>
      <c r="W88" s="104">
        <v>300</v>
      </c>
      <c r="X88" s="104">
        <v>300</v>
      </c>
      <c r="Y88" s="104">
        <v>300</v>
      </c>
      <c r="Z88" s="104">
        <v>320</v>
      </c>
      <c r="AA88" s="104">
        <v>320</v>
      </c>
      <c r="AB88" s="104">
        <v>300</v>
      </c>
      <c r="AC88" s="104">
        <v>300</v>
      </c>
      <c r="AD88" s="104">
        <v>300</v>
      </c>
      <c r="AE88" s="104">
        <v>300</v>
      </c>
      <c r="AF88" s="104">
        <v>280</v>
      </c>
      <c r="AG88" s="95"/>
      <c r="AH88" s="52">
        <f t="shared" si="17"/>
        <v>320</v>
      </c>
      <c r="AI88" s="53">
        <f t="shared" si="18"/>
        <v>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:AF89" si="24">B87+B88</f>
        <v>1411.94</v>
      </c>
      <c r="C89" s="102">
        <f t="shared" si="24"/>
        <v>1315.3400000000001</v>
      </c>
      <c r="D89" s="102">
        <f t="shared" si="24"/>
        <v>1259.94</v>
      </c>
      <c r="E89" s="102">
        <f t="shared" si="24"/>
        <v>1259.94</v>
      </c>
      <c r="F89" s="102">
        <f t="shared" si="24"/>
        <v>1238.94</v>
      </c>
      <c r="G89" s="102">
        <f t="shared" ref="G89" si="25">G87+G88</f>
        <v>1243.44</v>
      </c>
      <c r="H89" s="102">
        <f t="shared" si="24"/>
        <v>1243.54</v>
      </c>
      <c r="I89" s="102">
        <f t="shared" si="24"/>
        <v>1281.94</v>
      </c>
      <c r="J89" s="102">
        <f t="shared" si="24"/>
        <v>1309.3399999999997</v>
      </c>
      <c r="K89" s="102">
        <f t="shared" si="24"/>
        <v>1293.3399999999999</v>
      </c>
      <c r="L89" s="102">
        <f t="shared" si="24"/>
        <v>1392.24</v>
      </c>
      <c r="M89" s="102">
        <f t="shared" si="24"/>
        <v>1516.1399999999999</v>
      </c>
      <c r="N89" s="102">
        <f t="shared" si="24"/>
        <v>1533.04</v>
      </c>
      <c r="O89" s="102">
        <f t="shared" si="24"/>
        <v>1533.74</v>
      </c>
      <c r="P89" s="102">
        <f t="shared" si="24"/>
        <v>1582.94</v>
      </c>
      <c r="Q89" s="102">
        <f t="shared" si="24"/>
        <v>1564.1399999999999</v>
      </c>
      <c r="R89" s="102">
        <f t="shared" si="24"/>
        <v>1593.04</v>
      </c>
      <c r="S89" s="102">
        <f t="shared" si="24"/>
        <v>1627.7400000000002</v>
      </c>
      <c r="T89" s="102">
        <f t="shared" si="24"/>
        <v>1644.94</v>
      </c>
      <c r="U89" s="102">
        <f t="shared" si="24"/>
        <v>1635.34</v>
      </c>
      <c r="V89" s="102">
        <f t="shared" si="24"/>
        <v>1551.6399999999999</v>
      </c>
      <c r="W89" s="102">
        <f t="shared" si="24"/>
        <v>1514.1399999999999</v>
      </c>
      <c r="X89" s="102">
        <f t="shared" si="24"/>
        <v>1531.04</v>
      </c>
      <c r="Y89" s="102">
        <f t="shared" si="24"/>
        <v>1573.14</v>
      </c>
      <c r="Z89" s="102">
        <f t="shared" si="24"/>
        <v>1761.24</v>
      </c>
      <c r="AA89" s="102">
        <f t="shared" si="24"/>
        <v>1749.64</v>
      </c>
      <c r="AB89" s="102">
        <f t="shared" si="24"/>
        <v>1730.04</v>
      </c>
      <c r="AC89" s="102">
        <f t="shared" si="24"/>
        <v>1704.5400000000002</v>
      </c>
      <c r="AD89" s="102">
        <f t="shared" si="24"/>
        <v>1672.04</v>
      </c>
      <c r="AE89" s="102">
        <f t="shared" si="24"/>
        <v>1591.4399999999998</v>
      </c>
      <c r="AF89" s="102">
        <f t="shared" si="24"/>
        <v>1508.04</v>
      </c>
      <c r="AG89" s="95">
        <f>AG86+AG82+AG70+AG66+AG48+AG88</f>
        <v>1526.99</v>
      </c>
      <c r="AH89" s="52">
        <f t="shared" si="17"/>
        <v>1761.24</v>
      </c>
      <c r="AI89" s="53">
        <f t="shared" si="18"/>
        <v>1238.94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:AF90" si="26">B89-B97</f>
        <v>1411.94</v>
      </c>
      <c r="C90" s="102">
        <f t="shared" si="26"/>
        <v>1315.3400000000001</v>
      </c>
      <c r="D90" s="102">
        <f t="shared" si="26"/>
        <v>1259.94</v>
      </c>
      <c r="E90" s="102">
        <f t="shared" si="26"/>
        <v>1259.94</v>
      </c>
      <c r="F90" s="102">
        <f t="shared" si="26"/>
        <v>1238.94</v>
      </c>
      <c r="G90" s="102">
        <f t="shared" ref="G90" si="27">G89-G97</f>
        <v>1243.44</v>
      </c>
      <c r="H90" s="102">
        <f t="shared" si="26"/>
        <v>1243.54</v>
      </c>
      <c r="I90" s="102">
        <f t="shared" si="26"/>
        <v>1281.94</v>
      </c>
      <c r="J90" s="102">
        <f t="shared" si="26"/>
        <v>1309.3399999999997</v>
      </c>
      <c r="K90" s="102">
        <f t="shared" si="26"/>
        <v>1293.3399999999999</v>
      </c>
      <c r="L90" s="102">
        <f t="shared" si="26"/>
        <v>1392.24</v>
      </c>
      <c r="M90" s="102">
        <f t="shared" si="26"/>
        <v>1516.1399999999999</v>
      </c>
      <c r="N90" s="102">
        <f t="shared" si="26"/>
        <v>1533.04</v>
      </c>
      <c r="O90" s="102">
        <f t="shared" si="26"/>
        <v>1533.74</v>
      </c>
      <c r="P90" s="102">
        <f t="shared" si="26"/>
        <v>1582.94</v>
      </c>
      <c r="Q90" s="102">
        <f t="shared" si="26"/>
        <v>1564.1399999999999</v>
      </c>
      <c r="R90" s="102">
        <f t="shared" si="26"/>
        <v>1593.04</v>
      </c>
      <c r="S90" s="102">
        <f t="shared" si="26"/>
        <v>1627.7400000000002</v>
      </c>
      <c r="T90" s="102">
        <f t="shared" si="26"/>
        <v>1644.94</v>
      </c>
      <c r="U90" s="102">
        <f t="shared" si="26"/>
        <v>1635.34</v>
      </c>
      <c r="V90" s="102">
        <f t="shared" si="26"/>
        <v>1551.6399999999999</v>
      </c>
      <c r="W90" s="102">
        <f t="shared" si="26"/>
        <v>1514.1399999999999</v>
      </c>
      <c r="X90" s="102">
        <f t="shared" si="26"/>
        <v>1531.04</v>
      </c>
      <c r="Y90" s="102">
        <f t="shared" si="26"/>
        <v>1573.14</v>
      </c>
      <c r="Z90" s="102">
        <f t="shared" si="26"/>
        <v>1761.24</v>
      </c>
      <c r="AA90" s="102">
        <f t="shared" si="26"/>
        <v>1749.64</v>
      </c>
      <c r="AB90" s="102">
        <f t="shared" si="26"/>
        <v>1730.04</v>
      </c>
      <c r="AC90" s="102">
        <f t="shared" si="26"/>
        <v>1704.5400000000002</v>
      </c>
      <c r="AD90" s="102">
        <f t="shared" si="26"/>
        <v>1672.04</v>
      </c>
      <c r="AE90" s="102">
        <f t="shared" si="26"/>
        <v>1591.4399999999998</v>
      </c>
      <c r="AF90" s="102">
        <f t="shared" si="26"/>
        <v>1508.04</v>
      </c>
      <c r="AG90" s="95"/>
      <c r="AH90" s="52">
        <f t="shared" si="17"/>
        <v>1761.24</v>
      </c>
      <c r="AI90" s="53">
        <f t="shared" si="18"/>
        <v>1238.94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7"/>
        <v>0</v>
      </c>
      <c r="AI91" s="53">
        <f t="shared" si="18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7"/>
        <v>0</v>
      </c>
      <c r="AI92" s="53">
        <f t="shared" si="18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7"/>
        <v>0</v>
      </c>
      <c r="AI93" s="53">
        <f t="shared" si="18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7"/>
        <v>0</v>
      </c>
      <c r="AI94" s="53">
        <f t="shared" si="18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7"/>
        <v>0</v>
      </c>
      <c r="AI95" s="53">
        <f t="shared" si="18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7"/>
        <v>0</v>
      </c>
      <c r="AI96" s="53">
        <f t="shared" si="18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7"/>
        <v>0</v>
      </c>
      <c r="AI97" s="53">
        <f t="shared" si="18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:AF98" si="28">B82-B97</f>
        <v>358</v>
      </c>
      <c r="C98" s="67">
        <f t="shared" si="28"/>
        <v>360</v>
      </c>
      <c r="D98" s="67">
        <f t="shared" si="28"/>
        <v>502</v>
      </c>
      <c r="E98" s="67">
        <f t="shared" si="28"/>
        <v>502</v>
      </c>
      <c r="F98" s="67">
        <f t="shared" si="28"/>
        <v>607.79999999999995</v>
      </c>
      <c r="G98" s="67">
        <f t="shared" si="28"/>
        <v>611.29999999999995</v>
      </c>
      <c r="H98" s="67">
        <f t="shared" si="28"/>
        <v>611.39999999999986</v>
      </c>
      <c r="I98" s="67">
        <f t="shared" si="28"/>
        <v>530.70000000000005</v>
      </c>
      <c r="J98" s="67">
        <f t="shared" si="28"/>
        <v>544.99999999999989</v>
      </c>
      <c r="K98" s="67">
        <f t="shared" si="28"/>
        <v>529</v>
      </c>
      <c r="L98" s="67">
        <f t="shared" si="28"/>
        <v>529</v>
      </c>
      <c r="M98" s="67">
        <f t="shared" si="28"/>
        <v>520</v>
      </c>
      <c r="N98" s="67">
        <f t="shared" si="28"/>
        <v>551.5</v>
      </c>
      <c r="O98" s="67">
        <f t="shared" si="28"/>
        <v>552.20000000000005</v>
      </c>
      <c r="P98" s="67">
        <f t="shared" si="28"/>
        <v>563.29999999999995</v>
      </c>
      <c r="Q98" s="67">
        <f t="shared" si="28"/>
        <v>593.6</v>
      </c>
      <c r="R98" s="67">
        <f t="shared" si="28"/>
        <v>593.6</v>
      </c>
      <c r="S98" s="67">
        <f t="shared" si="28"/>
        <v>697.80000000000007</v>
      </c>
      <c r="T98" s="67">
        <f t="shared" si="28"/>
        <v>696</v>
      </c>
      <c r="U98" s="67">
        <f t="shared" si="28"/>
        <v>701.19999999999993</v>
      </c>
      <c r="V98" s="67">
        <f t="shared" si="28"/>
        <v>469.4</v>
      </c>
      <c r="W98" s="67">
        <f t="shared" si="28"/>
        <v>383.2</v>
      </c>
      <c r="X98" s="67">
        <f t="shared" si="28"/>
        <v>368.2</v>
      </c>
      <c r="Y98" s="67">
        <f t="shared" si="28"/>
        <v>414.2</v>
      </c>
      <c r="Z98" s="67">
        <f t="shared" si="28"/>
        <v>445.2</v>
      </c>
      <c r="AA98" s="67">
        <f t="shared" si="28"/>
        <v>445.2</v>
      </c>
      <c r="AB98" s="67">
        <f t="shared" si="28"/>
        <v>460</v>
      </c>
      <c r="AC98" s="67">
        <f t="shared" si="28"/>
        <v>436</v>
      </c>
      <c r="AD98" s="67">
        <f t="shared" si="28"/>
        <v>439.1</v>
      </c>
      <c r="AE98" s="67">
        <f t="shared" si="28"/>
        <v>403.8</v>
      </c>
      <c r="AF98" s="67">
        <f t="shared" si="28"/>
        <v>403</v>
      </c>
      <c r="AG98" s="95"/>
      <c r="AH98" s="52">
        <f t="shared" si="17"/>
        <v>701.19999999999993</v>
      </c>
      <c r="AI98" s="53">
        <f t="shared" si="18"/>
        <v>358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50</v>
      </c>
      <c r="C99" s="108">
        <v>50</v>
      </c>
      <c r="D99" s="108">
        <v>50</v>
      </c>
      <c r="E99" s="108">
        <v>50</v>
      </c>
      <c r="F99" s="108">
        <v>49.83</v>
      </c>
      <c r="G99" s="108">
        <v>50</v>
      </c>
      <c r="H99" s="108">
        <v>50</v>
      </c>
      <c r="I99" s="108">
        <v>50.04</v>
      </c>
      <c r="J99" s="108">
        <v>50.06</v>
      </c>
      <c r="K99" s="108">
        <v>50.055</v>
      </c>
      <c r="L99" s="108"/>
      <c r="M99" s="108">
        <v>50.024999999999999</v>
      </c>
      <c r="N99" s="108">
        <v>49.981999999999999</v>
      </c>
      <c r="O99" s="108">
        <v>50.012</v>
      </c>
      <c r="P99" s="108">
        <v>50.052999999999997</v>
      </c>
      <c r="Q99" s="108">
        <v>50.002000000000002</v>
      </c>
      <c r="R99" s="108">
        <v>50.002000000000002</v>
      </c>
      <c r="S99" s="108">
        <v>49.932000000000002</v>
      </c>
      <c r="T99" s="108">
        <v>49.945999999999998</v>
      </c>
      <c r="U99" s="108">
        <v>49.945999999999998</v>
      </c>
      <c r="V99" s="108">
        <v>50.072000000000003</v>
      </c>
      <c r="W99" s="108">
        <v>50.045999999999999</v>
      </c>
      <c r="X99" s="108">
        <v>49.942999999999998</v>
      </c>
      <c r="Y99" s="108">
        <v>50.082999999999998</v>
      </c>
      <c r="Z99" s="108">
        <v>50.113</v>
      </c>
      <c r="AA99" s="108">
        <v>50.033000000000001</v>
      </c>
      <c r="AB99" s="108">
        <v>50.072000000000003</v>
      </c>
      <c r="AC99" s="108">
        <v>50.005000000000003</v>
      </c>
      <c r="AD99" s="108">
        <v>49.9</v>
      </c>
      <c r="AE99" s="108">
        <v>49.96</v>
      </c>
      <c r="AF99" s="108">
        <v>50.02</v>
      </c>
      <c r="AG99" s="109"/>
      <c r="AH99" s="52">
        <f t="shared" si="17"/>
        <v>50.113</v>
      </c>
      <c r="AI99" s="53">
        <f t="shared" si="18"/>
        <v>49.83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127</v>
      </c>
      <c r="C100" s="72">
        <v>127</v>
      </c>
      <c r="D100" s="72">
        <v>127</v>
      </c>
      <c r="E100" s="72">
        <v>127</v>
      </c>
      <c r="F100" s="72">
        <v>126.5</v>
      </c>
      <c r="G100" s="72">
        <v>126</v>
      </c>
      <c r="H100" s="72">
        <v>126</v>
      </c>
      <c r="I100" s="72">
        <v>128.6</v>
      </c>
      <c r="J100" s="72">
        <v>127.8</v>
      </c>
      <c r="K100" s="72">
        <v>127.8</v>
      </c>
      <c r="L100" s="72">
        <v>127.8</v>
      </c>
      <c r="M100" s="72">
        <v>127.1</v>
      </c>
      <c r="N100" s="72">
        <v>125.9</v>
      </c>
      <c r="O100" s="72">
        <v>125.9</v>
      </c>
      <c r="P100" s="72">
        <v>125.8</v>
      </c>
      <c r="Q100" s="72">
        <v>125.8</v>
      </c>
      <c r="R100" s="72">
        <v>125.8</v>
      </c>
      <c r="S100" s="72">
        <v>125.1</v>
      </c>
      <c r="T100" s="72">
        <v>124.1</v>
      </c>
      <c r="U100" s="72">
        <v>124.1</v>
      </c>
      <c r="V100" s="72">
        <v>127.9</v>
      </c>
      <c r="W100" s="72">
        <v>127.8</v>
      </c>
      <c r="X100" s="72">
        <v>128.1</v>
      </c>
      <c r="Y100" s="72">
        <v>127.4</v>
      </c>
      <c r="Z100" s="72">
        <v>127.3</v>
      </c>
      <c r="AA100" s="72">
        <v>127.5</v>
      </c>
      <c r="AB100" s="72">
        <v>127.9</v>
      </c>
      <c r="AC100" s="72">
        <v>128.5</v>
      </c>
      <c r="AD100" s="72">
        <v>128</v>
      </c>
      <c r="AE100" s="72">
        <v>129.5</v>
      </c>
      <c r="AF100" s="72">
        <v>129.5</v>
      </c>
      <c r="AG100" s="111"/>
      <c r="AH100" s="52">
        <f t="shared" si="17"/>
        <v>129.5</v>
      </c>
      <c r="AI100" s="53">
        <f t="shared" si="18"/>
        <v>124.1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131</v>
      </c>
      <c r="C101" s="72">
        <v>131</v>
      </c>
      <c r="D101" s="72">
        <v>131</v>
      </c>
      <c r="E101" s="72">
        <v>131</v>
      </c>
      <c r="F101" s="72">
        <v>130.69999999999999</v>
      </c>
      <c r="G101" s="72">
        <v>130.69999999999999</v>
      </c>
      <c r="H101" s="72">
        <v>130.69999999999999</v>
      </c>
      <c r="I101" s="72">
        <v>130.80000000000001</v>
      </c>
      <c r="J101" s="72">
        <v>130.4</v>
      </c>
      <c r="K101" s="72">
        <v>130.4</v>
      </c>
      <c r="L101" s="72">
        <v>130.4</v>
      </c>
      <c r="M101" s="72">
        <v>129.4</v>
      </c>
      <c r="N101" s="72">
        <v>128.30000000000001</v>
      </c>
      <c r="O101" s="72">
        <v>128.30000000000001</v>
      </c>
      <c r="P101" s="72">
        <v>128.69999999999999</v>
      </c>
      <c r="Q101" s="72">
        <v>128.69999999999999</v>
      </c>
      <c r="R101" s="72">
        <v>128.69999999999999</v>
      </c>
      <c r="S101" s="72">
        <v>128.80000000000001</v>
      </c>
      <c r="T101" s="72">
        <v>128.19999999999999</v>
      </c>
      <c r="U101" s="72">
        <v>128.19999999999999</v>
      </c>
      <c r="V101" s="72">
        <v>129.80000000000001</v>
      </c>
      <c r="W101" s="72">
        <v>129.69999999999999</v>
      </c>
      <c r="X101" s="72">
        <v>130.19999999999999</v>
      </c>
      <c r="Y101" s="72">
        <v>129.4</v>
      </c>
      <c r="Z101" s="72">
        <v>129.4</v>
      </c>
      <c r="AA101" s="72">
        <v>129.80000000000001</v>
      </c>
      <c r="AB101" s="72">
        <v>130.5</v>
      </c>
      <c r="AC101" s="72">
        <v>131.19999999999999</v>
      </c>
      <c r="AD101" s="72">
        <v>130.80000000000001</v>
      </c>
      <c r="AE101" s="72">
        <v>132.19999999999999</v>
      </c>
      <c r="AF101" s="72">
        <v>132.19999999999999</v>
      </c>
      <c r="AG101" s="111"/>
      <c r="AH101" s="52">
        <f t="shared" si="17"/>
        <v>132.19999999999999</v>
      </c>
      <c r="AI101" s="53">
        <f t="shared" si="18"/>
        <v>128.19999999999999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127</v>
      </c>
      <c r="C102" s="72">
        <v>129</v>
      </c>
      <c r="D102" s="72">
        <v>128</v>
      </c>
      <c r="E102" s="72">
        <v>128</v>
      </c>
      <c r="F102" s="72">
        <v>129.69999999999999</v>
      </c>
      <c r="G102" s="72">
        <v>129.69999999999999</v>
      </c>
      <c r="H102" s="72">
        <v>129.69999999999999</v>
      </c>
      <c r="I102" s="72">
        <v>128.5</v>
      </c>
      <c r="J102" s="72">
        <v>123.3</v>
      </c>
      <c r="K102" s="72">
        <v>123.3</v>
      </c>
      <c r="L102" s="72">
        <v>123.3</v>
      </c>
      <c r="M102" s="72">
        <v>127</v>
      </c>
      <c r="N102" s="72">
        <v>129.9</v>
      </c>
      <c r="O102" s="72">
        <v>129.9</v>
      </c>
      <c r="P102" s="72">
        <v>122.4</v>
      </c>
      <c r="Q102" s="72">
        <v>122.4</v>
      </c>
      <c r="R102" s="72">
        <v>122.4</v>
      </c>
      <c r="S102" s="72">
        <v>128.4</v>
      </c>
      <c r="T102" s="72">
        <v>126</v>
      </c>
      <c r="U102" s="72">
        <v>126</v>
      </c>
      <c r="V102" s="72">
        <v>128.19999999999999</v>
      </c>
      <c r="W102" s="72">
        <v>129</v>
      </c>
      <c r="X102" s="72">
        <v>131.1</v>
      </c>
      <c r="Y102" s="72">
        <v>126.9</v>
      </c>
      <c r="Z102" s="72">
        <v>126.2</v>
      </c>
      <c r="AA102" s="72">
        <v>128.69999999999999</v>
      </c>
      <c r="AB102" s="72">
        <v>129.6</v>
      </c>
      <c r="AC102" s="72">
        <v>129.4</v>
      </c>
      <c r="AD102" s="72">
        <v>129.4</v>
      </c>
      <c r="AE102" s="72">
        <v>128.6</v>
      </c>
      <c r="AF102" s="72">
        <v>128.6</v>
      </c>
      <c r="AG102" s="111"/>
      <c r="AH102" s="52">
        <f t="shared" si="17"/>
        <v>131.1</v>
      </c>
      <c r="AI102" s="53">
        <f t="shared" si="18"/>
        <v>122.4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7"/>
        <v>0</v>
      </c>
      <c r="AI103" s="53">
        <f t="shared" si="18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130</v>
      </c>
      <c r="C104" s="113">
        <v>131</v>
      </c>
      <c r="D104" s="113">
        <v>132</v>
      </c>
      <c r="E104" s="113">
        <v>132</v>
      </c>
      <c r="F104" s="113">
        <v>129.4</v>
      </c>
      <c r="G104" s="113">
        <v>129.4</v>
      </c>
      <c r="H104" s="113">
        <v>129.4</v>
      </c>
      <c r="I104" s="113">
        <v>131.4</v>
      </c>
      <c r="J104" s="113">
        <v>127.7</v>
      </c>
      <c r="K104" s="113">
        <v>127.7</v>
      </c>
      <c r="L104" s="113">
        <v>127.7</v>
      </c>
      <c r="M104" s="113">
        <v>130.9</v>
      </c>
      <c r="N104" s="113">
        <v>129.80000000000001</v>
      </c>
      <c r="O104" s="113">
        <v>129.80000000000001</v>
      </c>
      <c r="P104" s="113">
        <v>133.6</v>
      </c>
      <c r="Q104" s="113">
        <v>133.6</v>
      </c>
      <c r="R104" s="113">
        <v>133.6</v>
      </c>
      <c r="S104" s="113">
        <v>130.6</v>
      </c>
      <c r="T104" s="113">
        <v>129</v>
      </c>
      <c r="U104" s="113">
        <v>129</v>
      </c>
      <c r="V104" s="113">
        <v>134.6</v>
      </c>
      <c r="W104" s="113">
        <v>134.69999999999999</v>
      </c>
      <c r="X104" s="113">
        <v>134.19999999999999</v>
      </c>
      <c r="Y104" s="113">
        <v>134.19999999999999</v>
      </c>
      <c r="Z104" s="113">
        <v>134.6</v>
      </c>
      <c r="AA104" s="113">
        <v>133.1</v>
      </c>
      <c r="AB104" s="113">
        <v>132.80000000000001</v>
      </c>
      <c r="AC104" s="113">
        <v>133.30000000000001</v>
      </c>
      <c r="AD104" s="113">
        <v>131.19999999999999</v>
      </c>
      <c r="AE104" s="113">
        <v>131.6</v>
      </c>
      <c r="AF104" s="113">
        <v>131.6</v>
      </c>
      <c r="AG104" s="114"/>
      <c r="AH104" s="52">
        <f t="shared" si="17"/>
        <v>134.69999999999999</v>
      </c>
      <c r="AI104" s="53">
        <f t="shared" si="18"/>
        <v>127.7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131</v>
      </c>
      <c r="C105" s="72">
        <v>131</v>
      </c>
      <c r="D105" s="72">
        <v>130</v>
      </c>
      <c r="E105" s="72">
        <v>130</v>
      </c>
      <c r="F105" s="72">
        <v>132.6</v>
      </c>
      <c r="G105" s="72">
        <v>132.6</v>
      </c>
      <c r="H105" s="72">
        <v>132.6</v>
      </c>
      <c r="I105" s="72">
        <v>132.6</v>
      </c>
      <c r="J105" s="72">
        <v>130.19999999999999</v>
      </c>
      <c r="K105" s="72">
        <v>130.19999999999999</v>
      </c>
      <c r="L105" s="72">
        <v>130.19999999999999</v>
      </c>
      <c r="M105" s="72">
        <v>133.5</v>
      </c>
      <c r="N105" s="72">
        <v>129</v>
      </c>
      <c r="O105" s="72">
        <v>129</v>
      </c>
      <c r="P105" s="72">
        <v>132.4</v>
      </c>
      <c r="Q105" s="72">
        <v>132.4</v>
      </c>
      <c r="R105" s="72">
        <v>132.4</v>
      </c>
      <c r="S105" s="72">
        <v>131.4</v>
      </c>
      <c r="T105" s="72">
        <v>130</v>
      </c>
      <c r="U105" s="72">
        <v>130</v>
      </c>
      <c r="V105" s="72">
        <v>136</v>
      </c>
      <c r="W105" s="72">
        <v>131.80000000000001</v>
      </c>
      <c r="X105" s="72">
        <v>132.6</v>
      </c>
      <c r="Y105" s="72">
        <v>132.19999999999999</v>
      </c>
      <c r="Z105" s="72">
        <v>130.1</v>
      </c>
      <c r="AA105" s="72">
        <v>128.30000000000001</v>
      </c>
      <c r="AB105" s="72">
        <v>135.1</v>
      </c>
      <c r="AC105" s="72">
        <v>131.6</v>
      </c>
      <c r="AD105" s="72">
        <v>128.80000000000001</v>
      </c>
      <c r="AE105" s="72">
        <v>129.6</v>
      </c>
      <c r="AF105" s="72">
        <v>129.6</v>
      </c>
      <c r="AG105" s="111"/>
      <c r="AH105" s="52">
        <f t="shared" si="17"/>
        <v>136</v>
      </c>
      <c r="AI105" s="53">
        <f t="shared" si="18"/>
        <v>128.30000000000001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65.5</v>
      </c>
      <c r="C106" s="99">
        <v>65.599999999999994</v>
      </c>
      <c r="D106" s="99">
        <v>65.900000000000006</v>
      </c>
      <c r="E106" s="99">
        <v>65.900000000000006</v>
      </c>
      <c r="F106" s="99">
        <v>65.400000000000006</v>
      </c>
      <c r="G106" s="99">
        <v>65.400000000000006</v>
      </c>
      <c r="H106" s="99">
        <v>65.400000000000006</v>
      </c>
      <c r="I106" s="99">
        <v>65.5</v>
      </c>
      <c r="J106" s="99">
        <v>65.599999999999994</v>
      </c>
      <c r="K106" s="99">
        <v>65.599999999999994</v>
      </c>
      <c r="L106" s="99">
        <v>65.599999999999994</v>
      </c>
      <c r="M106" s="99">
        <v>64.7</v>
      </c>
      <c r="N106" s="99">
        <v>64.2</v>
      </c>
      <c r="O106" s="99">
        <v>64.2</v>
      </c>
      <c r="P106" s="99">
        <v>64.5</v>
      </c>
      <c r="Q106" s="99">
        <v>64.5</v>
      </c>
      <c r="R106" s="99">
        <v>64.5</v>
      </c>
      <c r="S106" s="99">
        <v>64.5</v>
      </c>
      <c r="T106" s="99">
        <v>64</v>
      </c>
      <c r="U106" s="99">
        <v>64</v>
      </c>
      <c r="V106" s="99">
        <v>64.7</v>
      </c>
      <c r="W106" s="99">
        <v>64.7</v>
      </c>
      <c r="X106" s="99">
        <v>64.900000000000006</v>
      </c>
      <c r="Y106" s="99">
        <v>64.7</v>
      </c>
      <c r="Z106" s="99">
        <v>64.599999999999994</v>
      </c>
      <c r="AA106" s="99">
        <v>64.98</v>
      </c>
      <c r="AB106" s="99">
        <v>65.400000000000006</v>
      </c>
      <c r="AC106" s="99">
        <v>65.7</v>
      </c>
      <c r="AD106" s="99">
        <v>65.400000000000006</v>
      </c>
      <c r="AE106" s="99">
        <v>66.099999999999994</v>
      </c>
      <c r="AF106" s="99">
        <v>66.099999999999994</v>
      </c>
      <c r="AG106" s="115"/>
      <c r="AH106" s="52">
        <f t="shared" si="17"/>
        <v>66.099999999999994</v>
      </c>
      <c r="AI106" s="53">
        <f t="shared" si="18"/>
        <v>64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7"/>
        <v>0</v>
      </c>
      <c r="AI107" s="53">
        <f t="shared" si="18"/>
        <v>0</v>
      </c>
    </row>
    <row r="108" spans="1:88" ht="15.75" thickBot="1" x14ac:dyDescent="0.3">
      <c r="A108" s="117" t="s">
        <v>116</v>
      </c>
      <c r="B108" s="118">
        <f t="shared" ref="B108:AF108" si="29">SUM(B18,B24,B27:B28,B56,B58:B59,B61,B63,B109:B113,B135,B141,B147,B156,B158,B170,B177,B180:B181,B188,B190,B192,B196:B198,B200:B202,B207,B213:B214,B216:B218,B226,B231)</f>
        <v>134.69999999999999</v>
      </c>
      <c r="C108" s="118">
        <f t="shared" si="29"/>
        <v>121.64</v>
      </c>
      <c r="D108" s="118">
        <f t="shared" si="29"/>
        <v>116.24</v>
      </c>
      <c r="E108" s="118">
        <f t="shared" si="29"/>
        <v>116.24</v>
      </c>
      <c r="F108" s="118">
        <f t="shared" si="29"/>
        <v>87.24</v>
      </c>
      <c r="G108" s="118">
        <f t="shared" si="29"/>
        <v>132.44</v>
      </c>
      <c r="H108" s="118">
        <f t="shared" ref="H108:I108" si="30">SUM(H18,H24,H27:H28,H56,H58:H59,H61,H63,H109:H113,H135,H141,H147,H156,H158,H170,H177,H180:H181,H188,H190,H192,H196:H198,H200:H202,H207,H213:H214,H216:H218,H226,H231)</f>
        <v>132.44</v>
      </c>
      <c r="I108" s="118">
        <f t="shared" si="30"/>
        <v>137.24</v>
      </c>
      <c r="J108" s="118">
        <f t="shared" si="29"/>
        <v>163.54000000000002</v>
      </c>
      <c r="K108" s="118">
        <f t="shared" si="29"/>
        <v>252.04000000000002</v>
      </c>
      <c r="L108" s="118">
        <f t="shared" si="29"/>
        <v>252.04000000000002</v>
      </c>
      <c r="M108" s="118">
        <f t="shared" si="29"/>
        <v>276.44</v>
      </c>
      <c r="N108" s="118">
        <f t="shared" si="29"/>
        <v>286.46999999999997</v>
      </c>
      <c r="O108" s="118">
        <f t="shared" si="29"/>
        <v>275.83999999999997</v>
      </c>
      <c r="P108" s="118">
        <v>42</v>
      </c>
      <c r="Q108" s="118">
        <f t="shared" si="29"/>
        <v>265.10000000000002</v>
      </c>
      <c r="R108" s="118">
        <f t="shared" si="29"/>
        <v>265.39999999999998</v>
      </c>
      <c r="S108" s="118">
        <f t="shared" si="29"/>
        <v>249.6</v>
      </c>
      <c r="T108" s="118">
        <f t="shared" si="29"/>
        <v>250.3</v>
      </c>
      <c r="U108" s="118">
        <f t="shared" si="29"/>
        <v>250.3</v>
      </c>
      <c r="V108" s="118">
        <f t="shared" si="29"/>
        <v>240.3</v>
      </c>
      <c r="W108" s="118">
        <f t="shared" si="29"/>
        <v>267.2</v>
      </c>
      <c r="X108" s="118">
        <f t="shared" si="29"/>
        <v>279.3</v>
      </c>
      <c r="Y108" s="118">
        <f t="shared" si="29"/>
        <v>288.8</v>
      </c>
      <c r="Z108" s="118">
        <f t="shared" si="29"/>
        <v>328.9</v>
      </c>
      <c r="AA108" s="118">
        <f t="shared" si="29"/>
        <v>311.60000000000002</v>
      </c>
      <c r="AB108" s="118">
        <f t="shared" si="29"/>
        <v>247.5</v>
      </c>
      <c r="AC108" s="118">
        <f t="shared" si="29"/>
        <v>233.8</v>
      </c>
      <c r="AD108" s="118">
        <f t="shared" si="29"/>
        <v>246.39999999999998</v>
      </c>
      <c r="AE108" s="118">
        <f t="shared" si="29"/>
        <v>187.40000000000003</v>
      </c>
      <c r="AF108" s="118">
        <f t="shared" si="29"/>
        <v>177.8</v>
      </c>
      <c r="AG108" s="119"/>
      <c r="AH108" s="52">
        <f t="shared" si="17"/>
        <v>328.9</v>
      </c>
      <c r="AI108" s="53">
        <f t="shared" si="18"/>
        <v>42</v>
      </c>
    </row>
    <row r="109" spans="1:88" x14ac:dyDescent="0.25">
      <c r="A109" s="107" t="s">
        <v>117</v>
      </c>
      <c r="B109" s="120">
        <v>-12</v>
      </c>
      <c r="C109" s="120">
        <v>-9</v>
      </c>
      <c r="D109" s="120">
        <v>-16</v>
      </c>
      <c r="E109" s="120">
        <v>-16</v>
      </c>
      <c r="F109" s="120">
        <v>-24.5</v>
      </c>
      <c r="G109" s="120">
        <v>-19.2</v>
      </c>
      <c r="H109" s="120">
        <v>-19.2</v>
      </c>
      <c r="I109" s="120">
        <v>-19.2</v>
      </c>
      <c r="J109" s="120">
        <v>-2.8</v>
      </c>
      <c r="K109" s="120">
        <v>-14</v>
      </c>
      <c r="L109" s="120">
        <v>-14</v>
      </c>
      <c r="M109" s="120">
        <v>3</v>
      </c>
      <c r="N109" s="120">
        <v>-3.2</v>
      </c>
      <c r="O109" s="120">
        <v>-3</v>
      </c>
      <c r="P109" s="120">
        <v>-2.1</v>
      </c>
      <c r="Q109" s="120">
        <v>6.3</v>
      </c>
      <c r="R109" s="120">
        <v>6.3</v>
      </c>
      <c r="S109" s="120">
        <v>11.8</v>
      </c>
      <c r="T109" s="120">
        <v>12</v>
      </c>
      <c r="U109" s="120">
        <v>12</v>
      </c>
      <c r="V109" s="120">
        <v>12</v>
      </c>
      <c r="W109" s="120">
        <v>5.4</v>
      </c>
      <c r="X109" s="120">
        <v>6.6</v>
      </c>
      <c r="Y109" s="120">
        <v>0</v>
      </c>
      <c r="Z109" s="120">
        <v>14.4</v>
      </c>
      <c r="AA109" s="120">
        <v>16</v>
      </c>
      <c r="AB109" s="120">
        <v>9.6999999999999993</v>
      </c>
      <c r="AC109" s="120">
        <v>10.4</v>
      </c>
      <c r="AD109" s="120">
        <v>2.2000000000000002</v>
      </c>
      <c r="AE109" s="120">
        <v>2.4</v>
      </c>
      <c r="AF109" s="120">
        <v>-4.0999999999999996</v>
      </c>
      <c r="AG109" s="121">
        <v>75</v>
      </c>
      <c r="AH109" s="52">
        <f t="shared" si="17"/>
        <v>16</v>
      </c>
      <c r="AI109" s="53">
        <f t="shared" si="18"/>
        <v>-24.5</v>
      </c>
    </row>
    <row r="110" spans="1:88" x14ac:dyDescent="0.25">
      <c r="A110" s="110" t="s">
        <v>118</v>
      </c>
      <c r="B110" s="122">
        <v>-13</v>
      </c>
      <c r="C110" s="122">
        <v>-11</v>
      </c>
      <c r="D110" s="122">
        <v>-15</v>
      </c>
      <c r="E110" s="122">
        <v>-15</v>
      </c>
      <c r="F110" s="122">
        <v>-28.8</v>
      </c>
      <c r="G110" s="122">
        <v>-23.3</v>
      </c>
      <c r="H110" s="122">
        <v>-23.3</v>
      </c>
      <c r="I110" s="122">
        <v>-23.3</v>
      </c>
      <c r="J110" s="122">
        <v>-7.6</v>
      </c>
      <c r="K110" s="122">
        <v>-9</v>
      </c>
      <c r="L110" s="122">
        <v>-9</v>
      </c>
      <c r="M110" s="122">
        <v>1.3</v>
      </c>
      <c r="N110" s="122">
        <v>6.9</v>
      </c>
      <c r="O110" s="122">
        <v>2.5</v>
      </c>
      <c r="P110" s="122">
        <v>-2.6</v>
      </c>
      <c r="Q110" s="122">
        <v>10.7</v>
      </c>
      <c r="R110" s="122">
        <v>10.7</v>
      </c>
      <c r="S110" s="122">
        <v>19.5</v>
      </c>
      <c r="T110" s="122">
        <v>20</v>
      </c>
      <c r="U110" s="122">
        <v>20</v>
      </c>
      <c r="V110" s="122">
        <v>20</v>
      </c>
      <c r="W110" s="122">
        <v>3.3</v>
      </c>
      <c r="X110" s="122">
        <v>5</v>
      </c>
      <c r="Y110" s="122">
        <v>-2.8</v>
      </c>
      <c r="Z110" s="122">
        <v>16.399999999999999</v>
      </c>
      <c r="AA110" s="122">
        <v>18.5</v>
      </c>
      <c r="AB110" s="122">
        <v>10.4</v>
      </c>
      <c r="AC110" s="122">
        <v>11.7</v>
      </c>
      <c r="AD110" s="122">
        <v>0</v>
      </c>
      <c r="AE110" s="122">
        <v>1.2</v>
      </c>
      <c r="AF110" s="122">
        <v>-3.4</v>
      </c>
      <c r="AG110" s="121">
        <v>240</v>
      </c>
      <c r="AH110" s="52">
        <f t="shared" si="17"/>
        <v>20</v>
      </c>
      <c r="AI110" s="53">
        <f t="shared" si="18"/>
        <v>-28.8</v>
      </c>
    </row>
    <row r="111" spans="1:88" x14ac:dyDescent="0.25">
      <c r="A111" s="110" t="s">
        <v>119</v>
      </c>
      <c r="B111" s="122">
        <v>-45</v>
      </c>
      <c r="C111" s="122">
        <v>-55</v>
      </c>
      <c r="D111" s="122">
        <v>-50</v>
      </c>
      <c r="E111" s="122">
        <v>-50</v>
      </c>
      <c r="F111" s="122">
        <f>-22.2-52.1</f>
        <v>-74.3</v>
      </c>
      <c r="G111" s="122">
        <f>-44.2-13.9</f>
        <v>-58.1</v>
      </c>
      <c r="H111" s="122">
        <f t="shared" ref="H111:I111" si="31">-44.2-13.9</f>
        <v>-58.1</v>
      </c>
      <c r="I111" s="122">
        <f t="shared" si="31"/>
        <v>-58.1</v>
      </c>
      <c r="J111" s="122">
        <f>-35.2-4.6</f>
        <v>-39.800000000000004</v>
      </c>
      <c r="K111" s="122">
        <v>23</v>
      </c>
      <c r="L111" s="122">
        <v>23</v>
      </c>
      <c r="M111" s="122">
        <v>25</v>
      </c>
      <c r="N111" s="122">
        <v>29.7</v>
      </c>
      <c r="O111" s="122">
        <v>24.3</v>
      </c>
      <c r="P111" s="122">
        <v>22.3</v>
      </c>
      <c r="Q111" s="122">
        <v>7.4</v>
      </c>
      <c r="R111" s="122">
        <v>7.4</v>
      </c>
      <c r="S111" s="122">
        <v>-13</v>
      </c>
      <c r="T111" s="122">
        <v>-13</v>
      </c>
      <c r="U111" s="122">
        <v>-13</v>
      </c>
      <c r="V111" s="122">
        <v>-13</v>
      </c>
      <c r="W111" s="122">
        <v>24</v>
      </c>
      <c r="X111" s="122">
        <v>30</v>
      </c>
      <c r="Y111" s="122">
        <v>36</v>
      </c>
      <c r="Z111" s="122">
        <v>36</v>
      </c>
      <c r="AA111" s="122">
        <v>25</v>
      </c>
      <c r="AB111" s="122">
        <v>-20.5</v>
      </c>
      <c r="AC111" s="122">
        <v>-26</v>
      </c>
      <c r="AD111" s="122">
        <f>7.1+0</f>
        <v>7.1</v>
      </c>
      <c r="AE111" s="122">
        <f>-3.1-12.4</f>
        <v>-15.5</v>
      </c>
      <c r="AF111" s="122">
        <f>-7.1-10.8</f>
        <v>-17.899999999999999</v>
      </c>
      <c r="AG111" s="121">
        <v>240</v>
      </c>
      <c r="AH111" s="52">
        <f t="shared" si="17"/>
        <v>36</v>
      </c>
      <c r="AI111" s="53">
        <f t="shared" si="18"/>
        <v>-74.3</v>
      </c>
    </row>
    <row r="112" spans="1:88" x14ac:dyDescent="0.25">
      <c r="A112" s="110" t="s">
        <v>120</v>
      </c>
      <c r="B112" s="122">
        <v>32</v>
      </c>
      <c r="C112" s="122">
        <v>30</v>
      </c>
      <c r="D112" s="122">
        <v>28</v>
      </c>
      <c r="E112" s="122">
        <v>28</v>
      </c>
      <c r="F112" s="122">
        <v>29.8</v>
      </c>
      <c r="G112" s="122">
        <v>33.4</v>
      </c>
      <c r="H112" s="122">
        <v>33.4</v>
      </c>
      <c r="I112" s="122">
        <v>33.4</v>
      </c>
      <c r="J112" s="122">
        <v>37.4</v>
      </c>
      <c r="K112" s="122">
        <v>42</v>
      </c>
      <c r="L112" s="122">
        <v>42</v>
      </c>
      <c r="M112" s="122">
        <v>43.1</v>
      </c>
      <c r="N112" s="122">
        <v>42.73</v>
      </c>
      <c r="O112" s="122">
        <v>43.6</v>
      </c>
      <c r="P112" s="122">
        <v>44.9</v>
      </c>
      <c r="Q112" s="122">
        <v>39.299999999999997</v>
      </c>
      <c r="R112" s="122">
        <v>39.299999999999997</v>
      </c>
      <c r="S112" s="122">
        <v>37.200000000000003</v>
      </c>
      <c r="T112" s="122">
        <v>36</v>
      </c>
      <c r="U112" s="122">
        <v>36</v>
      </c>
      <c r="V112" s="122">
        <v>36</v>
      </c>
      <c r="W112" s="122">
        <v>42</v>
      </c>
      <c r="X112" s="122">
        <v>41</v>
      </c>
      <c r="Y112" s="122">
        <v>45</v>
      </c>
      <c r="Z112" s="122">
        <v>51</v>
      </c>
      <c r="AA112" s="122">
        <v>47</v>
      </c>
      <c r="AB112" s="122">
        <v>46.6</v>
      </c>
      <c r="AC112" s="122">
        <v>44.3</v>
      </c>
      <c r="AD112" s="122">
        <v>42.3</v>
      </c>
      <c r="AE112" s="122">
        <v>38.799999999999997</v>
      </c>
      <c r="AF112" s="122">
        <v>35.4</v>
      </c>
      <c r="AG112" s="121">
        <v>60</v>
      </c>
      <c r="AH112" s="52">
        <f t="shared" si="17"/>
        <v>51</v>
      </c>
      <c r="AI112" s="53">
        <f t="shared" si="18"/>
        <v>28</v>
      </c>
    </row>
    <row r="113" spans="1:37" x14ac:dyDescent="0.25">
      <c r="A113" s="123" t="s">
        <v>121</v>
      </c>
      <c r="B113" s="124">
        <v>85</v>
      </c>
      <c r="C113" s="124">
        <v>78</v>
      </c>
      <c r="D113" s="124">
        <v>75</v>
      </c>
      <c r="E113" s="124">
        <v>75</v>
      </c>
      <c r="F113" s="124">
        <v>90.8</v>
      </c>
      <c r="G113" s="124">
        <v>105.4</v>
      </c>
      <c r="H113" s="124">
        <v>105.4</v>
      </c>
      <c r="I113" s="124">
        <v>105.4</v>
      </c>
      <c r="J113" s="124">
        <v>75.3</v>
      </c>
      <c r="K113" s="124">
        <v>109</v>
      </c>
      <c r="L113" s="124">
        <v>109</v>
      </c>
      <c r="M113" s="124">
        <v>99.8</v>
      </c>
      <c r="N113" s="124">
        <v>108.4</v>
      </c>
      <c r="O113" s="124">
        <v>106.5</v>
      </c>
      <c r="P113" s="124">
        <v>105.6</v>
      </c>
      <c r="Q113" s="124">
        <v>100.4</v>
      </c>
      <c r="R113" s="124">
        <v>100.4</v>
      </c>
      <c r="S113" s="124">
        <v>90.6</v>
      </c>
      <c r="T113" s="124">
        <v>91.8</v>
      </c>
      <c r="U113" s="124">
        <v>91.8</v>
      </c>
      <c r="V113" s="124">
        <v>91.8</v>
      </c>
      <c r="W113" s="124">
        <v>99</v>
      </c>
      <c r="X113" s="124">
        <v>103.2</v>
      </c>
      <c r="Y113" s="124">
        <v>118</v>
      </c>
      <c r="Z113" s="124">
        <v>115</v>
      </c>
      <c r="AA113" s="124">
        <v>109</v>
      </c>
      <c r="AB113" s="124">
        <v>105.2</v>
      </c>
      <c r="AC113" s="124">
        <v>98.5</v>
      </c>
      <c r="AD113" s="124">
        <v>98.7</v>
      </c>
      <c r="AE113" s="124">
        <v>64.400000000000006</v>
      </c>
      <c r="AF113" s="124">
        <v>72.099999999999994</v>
      </c>
      <c r="AG113" s="125">
        <v>120</v>
      </c>
      <c r="AH113" s="52">
        <f t="shared" si="17"/>
        <v>118</v>
      </c>
      <c r="AI113" s="53">
        <f t="shared" si="18"/>
        <v>64.400000000000006</v>
      </c>
    </row>
    <row r="114" spans="1:37" x14ac:dyDescent="0.25">
      <c r="A114" s="123" t="s">
        <v>122</v>
      </c>
      <c r="B114" s="124">
        <v>97</v>
      </c>
      <c r="C114" s="124">
        <v>100</v>
      </c>
      <c r="D114" s="124">
        <v>95</v>
      </c>
      <c r="E114" s="124">
        <v>95</v>
      </c>
      <c r="F114" s="124">
        <v>109</v>
      </c>
      <c r="G114" s="124">
        <v>116</v>
      </c>
      <c r="H114" s="124">
        <v>116</v>
      </c>
      <c r="I114" s="124">
        <v>116</v>
      </c>
      <c r="J114" s="124">
        <v>116</v>
      </c>
      <c r="K114" s="124">
        <v>90</v>
      </c>
      <c r="L114" s="124">
        <v>90</v>
      </c>
      <c r="M114" s="124">
        <v>81.2</v>
      </c>
      <c r="N114" s="124">
        <v>88.2</v>
      </c>
      <c r="O114" s="124">
        <v>88.9</v>
      </c>
      <c r="P114" s="124">
        <v>89.9</v>
      </c>
      <c r="Q114" s="124">
        <v>98.8</v>
      </c>
      <c r="R114" s="124">
        <v>98.8</v>
      </c>
      <c r="S114" s="124">
        <v>106</v>
      </c>
      <c r="T114" s="124">
        <v>106</v>
      </c>
      <c r="U114" s="124">
        <v>106</v>
      </c>
      <c r="V114" s="124">
        <v>106</v>
      </c>
      <c r="W114" s="124">
        <v>79</v>
      </c>
      <c r="X114" s="124">
        <v>81</v>
      </c>
      <c r="Y114" s="124">
        <v>91</v>
      </c>
      <c r="Z114" s="124">
        <v>86</v>
      </c>
      <c r="AA114" s="124">
        <v>88</v>
      </c>
      <c r="AB114" s="124">
        <v>89.9</v>
      </c>
      <c r="AC114" s="124">
        <v>82.2</v>
      </c>
      <c r="AD114" s="124">
        <v>85.6</v>
      </c>
      <c r="AE114" s="124">
        <v>75.599999999999994</v>
      </c>
      <c r="AF114" s="124">
        <v>78.5</v>
      </c>
      <c r="AG114" s="125"/>
      <c r="AH114" s="52">
        <f t="shared" si="17"/>
        <v>116</v>
      </c>
      <c r="AI114" s="53">
        <f t="shared" si="18"/>
        <v>75.599999999999994</v>
      </c>
    </row>
    <row r="115" spans="1:37" x14ac:dyDescent="0.25">
      <c r="A115" s="123" t="s">
        <v>123</v>
      </c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>
        <v>42.2</v>
      </c>
      <c r="N115" s="124"/>
      <c r="O115" s="124"/>
      <c r="P115" s="124"/>
      <c r="Q115" s="124">
        <v>31.8</v>
      </c>
      <c r="R115" s="124">
        <v>31.8</v>
      </c>
      <c r="S115" s="124">
        <v>33.700000000000003</v>
      </c>
      <c r="T115" s="124">
        <v>39</v>
      </c>
      <c r="U115" s="124">
        <v>39</v>
      </c>
      <c r="V115" s="124">
        <v>39</v>
      </c>
      <c r="W115" s="124">
        <v>22.3</v>
      </c>
      <c r="X115" s="124"/>
      <c r="Y115" s="124"/>
      <c r="Z115" s="124">
        <v>34</v>
      </c>
      <c r="AA115" s="124">
        <v>41.2</v>
      </c>
      <c r="AB115" s="124">
        <v>44.9</v>
      </c>
      <c r="AC115" s="124">
        <v>45.2</v>
      </c>
      <c r="AD115" s="124">
        <v>55.3</v>
      </c>
      <c r="AE115" s="124">
        <v>56.1</v>
      </c>
      <c r="AF115" s="124"/>
      <c r="AG115" s="126"/>
      <c r="AH115" s="52">
        <f t="shared" si="17"/>
        <v>56.1</v>
      </c>
      <c r="AI115" s="53">
        <f t="shared" si="18"/>
        <v>22.3</v>
      </c>
    </row>
    <row r="116" spans="1:37" x14ac:dyDescent="0.25">
      <c r="A116" s="127" t="s">
        <v>124</v>
      </c>
      <c r="B116" s="113">
        <v>-16</v>
      </c>
      <c r="C116" s="113">
        <v>-18</v>
      </c>
      <c r="D116" s="113">
        <v>-16</v>
      </c>
      <c r="E116" s="113">
        <v>-16</v>
      </c>
      <c r="F116" s="113">
        <v>-23.1</v>
      </c>
      <c r="G116" s="113">
        <v>-23.5</v>
      </c>
      <c r="H116" s="113">
        <v>-23.5</v>
      </c>
      <c r="I116" s="113">
        <v>-23.5</v>
      </c>
      <c r="J116" s="113">
        <v>-23.5</v>
      </c>
      <c r="K116" s="113">
        <v>-23.5</v>
      </c>
      <c r="L116" s="113">
        <v>-23.5</v>
      </c>
      <c r="M116" s="113">
        <v>-43.2</v>
      </c>
      <c r="N116" s="113">
        <v>-39.5</v>
      </c>
      <c r="O116" s="113">
        <v>-39</v>
      </c>
      <c r="P116" s="113">
        <v>-38.700000000000003</v>
      </c>
      <c r="Q116" s="113">
        <v>-34.200000000000003</v>
      </c>
      <c r="R116" s="113">
        <v>-34.200000000000003</v>
      </c>
      <c r="S116" s="113">
        <v>-33.700000000000003</v>
      </c>
      <c r="T116" s="113">
        <v>-36</v>
      </c>
      <c r="U116" s="113">
        <v>-36</v>
      </c>
      <c r="V116" s="113">
        <v>-36</v>
      </c>
      <c r="W116" s="113">
        <v>-52</v>
      </c>
      <c r="X116" s="113">
        <v>-44</v>
      </c>
      <c r="Y116" s="113">
        <v>-53</v>
      </c>
      <c r="Z116" s="113">
        <v>-53</v>
      </c>
      <c r="AA116" s="113">
        <v>-47</v>
      </c>
      <c r="AB116" s="113">
        <v>-41.5</v>
      </c>
      <c r="AC116" s="113">
        <v>-40.9</v>
      </c>
      <c r="AD116" s="113">
        <v>-37.200000000000003</v>
      </c>
      <c r="AE116" s="113">
        <v>-31.5</v>
      </c>
      <c r="AF116" s="113">
        <v>-29.4</v>
      </c>
      <c r="AG116" s="126"/>
      <c r="AH116" s="52">
        <f t="shared" si="17"/>
        <v>-16</v>
      </c>
      <c r="AI116" s="53">
        <f t="shared" si="18"/>
        <v>-53</v>
      </c>
    </row>
    <row r="117" spans="1:37" ht="15.75" thickBot="1" x14ac:dyDescent="0.3">
      <c r="A117" s="127" t="s">
        <v>125</v>
      </c>
      <c r="B117" s="113">
        <v>105</v>
      </c>
      <c r="C117" s="113">
        <v>107</v>
      </c>
      <c r="D117" s="113">
        <v>112</v>
      </c>
      <c r="E117" s="113">
        <v>112</v>
      </c>
      <c r="F117" s="113">
        <v>100.3</v>
      </c>
      <c r="G117" s="113">
        <v>94.1</v>
      </c>
      <c r="H117" s="113">
        <v>94.1</v>
      </c>
      <c r="I117" s="113">
        <v>94.1</v>
      </c>
      <c r="J117" s="113">
        <v>94.1</v>
      </c>
      <c r="K117" s="113">
        <v>94.1</v>
      </c>
      <c r="L117" s="113">
        <v>94.1</v>
      </c>
      <c r="M117" s="113">
        <v>110</v>
      </c>
      <c r="N117" s="113">
        <v>102.4</v>
      </c>
      <c r="O117" s="113">
        <v>113.3</v>
      </c>
      <c r="P117" s="113">
        <v>122.1</v>
      </c>
      <c r="Q117" s="113">
        <v>118</v>
      </c>
      <c r="R117" s="113">
        <v>118</v>
      </c>
      <c r="S117" s="113">
        <v>74</v>
      </c>
      <c r="T117" s="113">
        <v>73</v>
      </c>
      <c r="U117" s="113">
        <v>73</v>
      </c>
      <c r="V117" s="113">
        <v>73</v>
      </c>
      <c r="W117" s="113">
        <v>93</v>
      </c>
      <c r="X117" s="113">
        <v>86</v>
      </c>
      <c r="Y117" s="113">
        <v>99</v>
      </c>
      <c r="Z117" s="113">
        <v>110</v>
      </c>
      <c r="AA117" s="113">
        <v>106</v>
      </c>
      <c r="AB117" s="113">
        <v>108.2</v>
      </c>
      <c r="AC117" s="113">
        <v>107.2</v>
      </c>
      <c r="AD117" s="113">
        <v>107</v>
      </c>
      <c r="AE117" s="113">
        <v>102.3</v>
      </c>
      <c r="AF117" s="113">
        <v>103.8</v>
      </c>
      <c r="AG117" s="126"/>
      <c r="AH117" s="52">
        <f t="shared" si="17"/>
        <v>122.1</v>
      </c>
      <c r="AI117" s="53">
        <f t="shared" si="18"/>
        <v>73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32">SUM(B119:B223)</f>
        <v>0</v>
      </c>
      <c r="C224" s="144">
        <f t="shared" si="32"/>
        <v>0</v>
      </c>
      <c r="D224" s="144">
        <f t="shared" si="32"/>
        <v>0</v>
      </c>
      <c r="E224" s="144">
        <f t="shared" si="32"/>
        <v>0</v>
      </c>
      <c r="F224" s="144">
        <f t="shared" si="32"/>
        <v>0</v>
      </c>
      <c r="G224" s="144">
        <f t="shared" si="32"/>
        <v>0</v>
      </c>
      <c r="H224" s="144">
        <f t="shared" si="32"/>
        <v>0</v>
      </c>
      <c r="I224" s="144">
        <f t="shared" si="32"/>
        <v>0</v>
      </c>
      <c r="J224" s="144">
        <f t="shared" si="32"/>
        <v>0</v>
      </c>
      <c r="K224" s="144">
        <f t="shared" si="32"/>
        <v>0</v>
      </c>
      <c r="L224" s="144">
        <f t="shared" si="32"/>
        <v>0</v>
      </c>
      <c r="M224" s="144">
        <f t="shared" si="32"/>
        <v>0</v>
      </c>
      <c r="N224" s="144">
        <f t="shared" si="32"/>
        <v>0</v>
      </c>
      <c r="O224" s="144">
        <f t="shared" si="32"/>
        <v>0</v>
      </c>
      <c r="P224" s="144">
        <f t="shared" si="32"/>
        <v>0</v>
      </c>
      <c r="Q224" s="144">
        <f t="shared" si="32"/>
        <v>0</v>
      </c>
      <c r="R224" s="144">
        <f t="shared" si="32"/>
        <v>0</v>
      </c>
      <c r="S224" s="144">
        <f t="shared" si="32"/>
        <v>0</v>
      </c>
      <c r="T224" s="144">
        <f t="shared" si="32"/>
        <v>0</v>
      </c>
      <c r="U224" s="144">
        <f t="shared" si="32"/>
        <v>0</v>
      </c>
      <c r="V224" s="144">
        <f t="shared" si="32"/>
        <v>0</v>
      </c>
      <c r="W224" s="144">
        <f t="shared" si="32"/>
        <v>0</v>
      </c>
      <c r="X224" s="144">
        <f t="shared" si="32"/>
        <v>0</v>
      </c>
      <c r="Y224" s="144">
        <f t="shared" si="32"/>
        <v>0</v>
      </c>
      <c r="Z224" s="144">
        <f t="shared" si="32"/>
        <v>0</v>
      </c>
      <c r="AA224" s="144">
        <f t="shared" si="32"/>
        <v>0</v>
      </c>
      <c r="AB224" s="144">
        <f t="shared" si="32"/>
        <v>0</v>
      </c>
      <c r="AC224" s="144">
        <f t="shared" si="32"/>
        <v>0</v>
      </c>
      <c r="AD224" s="144">
        <f t="shared" si="32"/>
        <v>0</v>
      </c>
      <c r="AE224" s="144">
        <f t="shared" si="32"/>
        <v>0</v>
      </c>
      <c r="AF224" s="145">
        <f t="shared" si="32"/>
        <v>0</v>
      </c>
      <c r="AG224" s="146">
        <f t="shared" si="32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33">AF226</f>
        <v>0</v>
      </c>
      <c r="C226" s="149">
        <v>0.3</v>
      </c>
      <c r="D226" s="149">
        <f t="shared" ref="D226:P231" si="34">C226</f>
        <v>0.3</v>
      </c>
      <c r="E226" s="149">
        <f t="shared" si="34"/>
        <v>0.3</v>
      </c>
      <c r="F226" s="149">
        <f t="shared" si="34"/>
        <v>0.3</v>
      </c>
      <c r="G226" s="149">
        <f t="shared" si="34"/>
        <v>0.3</v>
      </c>
      <c r="H226" s="149">
        <f t="shared" si="34"/>
        <v>0.3</v>
      </c>
      <c r="I226" s="149">
        <f t="shared" si="34"/>
        <v>0.3</v>
      </c>
      <c r="J226" s="149">
        <f t="shared" si="34"/>
        <v>0.3</v>
      </c>
      <c r="K226" s="149">
        <f t="shared" si="34"/>
        <v>0.3</v>
      </c>
      <c r="L226" s="149">
        <f t="shared" si="34"/>
        <v>0.3</v>
      </c>
      <c r="M226" s="149">
        <f t="shared" si="34"/>
        <v>0.3</v>
      </c>
      <c r="N226" s="149">
        <f t="shared" si="34"/>
        <v>0.3</v>
      </c>
      <c r="O226" s="149">
        <f t="shared" si="34"/>
        <v>0.3</v>
      </c>
      <c r="P226" s="149">
        <f t="shared" si="34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33"/>
        <v>0</v>
      </c>
      <c r="C227" s="136">
        <v>0.4</v>
      </c>
      <c r="D227" s="136">
        <f t="shared" si="34"/>
        <v>0.4</v>
      </c>
      <c r="E227" s="136">
        <f t="shared" si="34"/>
        <v>0.4</v>
      </c>
      <c r="F227" s="136">
        <f t="shared" si="34"/>
        <v>0.4</v>
      </c>
      <c r="G227" s="136">
        <f t="shared" si="34"/>
        <v>0.4</v>
      </c>
      <c r="H227" s="136">
        <f t="shared" si="34"/>
        <v>0.4</v>
      </c>
      <c r="I227" s="136">
        <f t="shared" si="34"/>
        <v>0.4</v>
      </c>
      <c r="J227" s="136">
        <f t="shared" si="34"/>
        <v>0.4</v>
      </c>
      <c r="K227" s="136">
        <f t="shared" si="34"/>
        <v>0.4</v>
      </c>
      <c r="L227" s="136">
        <f t="shared" si="34"/>
        <v>0.4</v>
      </c>
      <c r="M227" s="136">
        <f t="shared" si="34"/>
        <v>0.4</v>
      </c>
      <c r="N227" s="136">
        <f t="shared" si="34"/>
        <v>0.4</v>
      </c>
      <c r="O227" s="136">
        <f t="shared" si="34"/>
        <v>0.4</v>
      </c>
      <c r="P227" s="136">
        <f t="shared" si="34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33"/>
        <v>0</v>
      </c>
      <c r="C228" s="136">
        <v>1.5</v>
      </c>
      <c r="D228" s="136">
        <f t="shared" si="34"/>
        <v>1.5</v>
      </c>
      <c r="E228" s="136">
        <f t="shared" si="34"/>
        <v>1.5</v>
      </c>
      <c r="F228" s="136">
        <f t="shared" si="34"/>
        <v>1.5</v>
      </c>
      <c r="G228" s="136">
        <f t="shared" si="34"/>
        <v>1.5</v>
      </c>
      <c r="H228" s="136">
        <f t="shared" si="34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34"/>
        <v>1.5</v>
      </c>
      <c r="K228" s="136">
        <f t="shared" ca="1" si="34"/>
        <v>1.5</v>
      </c>
      <c r="L228" s="136">
        <f t="shared" ca="1" si="34"/>
        <v>1.5</v>
      </c>
      <c r="M228" s="136">
        <f t="shared" ca="1" si="34"/>
        <v>1.5</v>
      </c>
      <c r="N228" s="136">
        <f t="shared" ca="1" si="34"/>
        <v>1.5</v>
      </c>
      <c r="O228" s="136">
        <f t="shared" ca="1" si="34"/>
        <v>1.5</v>
      </c>
      <c r="P228" s="136">
        <f t="shared" ca="1" si="34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33"/>
        <v>0</v>
      </c>
      <c r="C229" s="136">
        <v>0.3</v>
      </c>
      <c r="D229" s="136">
        <f t="shared" si="34"/>
        <v>0.3</v>
      </c>
      <c r="E229" s="136">
        <f t="shared" si="34"/>
        <v>0.3</v>
      </c>
      <c r="F229" s="136">
        <f t="shared" si="34"/>
        <v>0.3</v>
      </c>
      <c r="G229" s="136">
        <f t="shared" si="34"/>
        <v>0.3</v>
      </c>
      <c r="H229" s="136">
        <f t="shared" si="34"/>
        <v>0.3</v>
      </c>
      <c r="I229" s="136">
        <f t="shared" si="34"/>
        <v>0.3</v>
      </c>
      <c r="J229" s="136">
        <f t="shared" si="34"/>
        <v>0.3</v>
      </c>
      <c r="K229" s="136">
        <f t="shared" si="34"/>
        <v>0.3</v>
      </c>
      <c r="L229" s="136">
        <f t="shared" si="34"/>
        <v>0.3</v>
      </c>
      <c r="M229" s="136">
        <f t="shared" si="34"/>
        <v>0.3</v>
      </c>
      <c r="N229" s="136">
        <f t="shared" si="34"/>
        <v>0.3</v>
      </c>
      <c r="O229" s="136">
        <f t="shared" si="34"/>
        <v>0.3</v>
      </c>
      <c r="P229" s="136">
        <f t="shared" si="34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33"/>
        <v>0</v>
      </c>
      <c r="C230" s="136">
        <v>0.4</v>
      </c>
      <c r="D230" s="136">
        <f t="shared" si="34"/>
        <v>0.4</v>
      </c>
      <c r="E230" s="136">
        <f t="shared" si="34"/>
        <v>0.4</v>
      </c>
      <c r="F230" s="136">
        <f t="shared" si="34"/>
        <v>0.4</v>
      </c>
      <c r="G230" s="136">
        <f t="shared" si="34"/>
        <v>0.4</v>
      </c>
      <c r="H230" s="136">
        <f t="shared" si="34"/>
        <v>0.4</v>
      </c>
      <c r="I230" s="136">
        <f t="shared" si="34"/>
        <v>0.4</v>
      </c>
      <c r="J230" s="136">
        <f t="shared" si="34"/>
        <v>0.4</v>
      </c>
      <c r="K230" s="136">
        <f t="shared" si="34"/>
        <v>0.4</v>
      </c>
      <c r="L230" s="136">
        <f t="shared" si="34"/>
        <v>0.4</v>
      </c>
      <c r="M230" s="136">
        <f t="shared" si="34"/>
        <v>0.4</v>
      </c>
      <c r="N230" s="136">
        <f t="shared" si="34"/>
        <v>0.4</v>
      </c>
      <c r="O230" s="136">
        <f t="shared" si="34"/>
        <v>0.4</v>
      </c>
      <c r="P230" s="136">
        <f t="shared" si="34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33"/>
        <v>0</v>
      </c>
      <c r="C231" s="140">
        <v>0.64</v>
      </c>
      <c r="D231" s="140">
        <f t="shared" si="34"/>
        <v>0.64</v>
      </c>
      <c r="E231" s="140">
        <f t="shared" si="34"/>
        <v>0.64</v>
      </c>
      <c r="F231" s="140">
        <f t="shared" si="34"/>
        <v>0.64</v>
      </c>
      <c r="G231" s="140">
        <f t="shared" si="34"/>
        <v>0.64</v>
      </c>
      <c r="H231" s="140">
        <f t="shared" si="34"/>
        <v>0.64</v>
      </c>
      <c r="I231" s="140">
        <f t="shared" si="34"/>
        <v>0.64</v>
      </c>
      <c r="J231" s="140">
        <f t="shared" si="34"/>
        <v>0.64</v>
      </c>
      <c r="K231" s="140">
        <f t="shared" si="34"/>
        <v>0.64</v>
      </c>
      <c r="L231" s="140">
        <f t="shared" si="34"/>
        <v>0.64</v>
      </c>
      <c r="M231" s="140">
        <f t="shared" si="34"/>
        <v>0.64</v>
      </c>
      <c r="N231" s="140">
        <f t="shared" si="34"/>
        <v>0.64</v>
      </c>
      <c r="O231" s="140">
        <f t="shared" si="34"/>
        <v>0.64</v>
      </c>
      <c r="P231" s="140">
        <f t="shared" si="34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35">SUM(B226:B231)</f>
        <v>0</v>
      </c>
      <c r="C232" s="144">
        <f t="shared" si="35"/>
        <v>3.54</v>
      </c>
      <c r="D232" s="144">
        <f t="shared" si="35"/>
        <v>3.54</v>
      </c>
      <c r="E232" s="144">
        <f t="shared" si="35"/>
        <v>3.54</v>
      </c>
      <c r="F232" s="144">
        <f t="shared" si="35"/>
        <v>3.54</v>
      </c>
      <c r="G232" s="144">
        <f t="shared" si="35"/>
        <v>3.54</v>
      </c>
      <c r="H232" s="144">
        <f t="shared" si="35"/>
        <v>3.54</v>
      </c>
      <c r="I232" s="144">
        <f t="shared" ca="1" si="35"/>
        <v>3.54</v>
      </c>
      <c r="J232" s="144">
        <f t="shared" ca="1" si="35"/>
        <v>3.54</v>
      </c>
      <c r="K232" s="144">
        <f t="shared" ca="1" si="35"/>
        <v>3.54</v>
      </c>
      <c r="L232" s="144">
        <f t="shared" ca="1" si="35"/>
        <v>3.54</v>
      </c>
      <c r="M232" s="144">
        <f t="shared" ca="1" si="35"/>
        <v>3.54</v>
      </c>
      <c r="N232" s="144">
        <f t="shared" ca="1" si="35"/>
        <v>3.54</v>
      </c>
      <c r="O232" s="144">
        <f t="shared" ca="1" si="35"/>
        <v>3.54</v>
      </c>
      <c r="P232" s="144">
        <f t="shared" ca="1" si="35"/>
        <v>3.54</v>
      </c>
      <c r="Q232" s="144">
        <f t="shared" si="35"/>
        <v>0</v>
      </c>
      <c r="R232" s="144">
        <f t="shared" si="35"/>
        <v>0</v>
      </c>
      <c r="S232" s="144">
        <f t="shared" si="35"/>
        <v>0</v>
      </c>
      <c r="T232" s="144">
        <f t="shared" si="35"/>
        <v>0</v>
      </c>
      <c r="U232" s="144">
        <f t="shared" si="35"/>
        <v>0</v>
      </c>
      <c r="V232" s="144">
        <f t="shared" si="35"/>
        <v>0</v>
      </c>
      <c r="W232" s="144">
        <f t="shared" si="35"/>
        <v>0</v>
      </c>
      <c r="X232" s="144">
        <f t="shared" si="35"/>
        <v>0</v>
      </c>
      <c r="Y232" s="144">
        <f t="shared" si="35"/>
        <v>0</v>
      </c>
      <c r="Z232" s="144">
        <f t="shared" si="35"/>
        <v>0</v>
      </c>
      <c r="AA232" s="144">
        <f t="shared" si="35"/>
        <v>0</v>
      </c>
      <c r="AB232" s="144">
        <f t="shared" si="35"/>
        <v>0</v>
      </c>
      <c r="AC232" s="144">
        <f t="shared" si="35"/>
        <v>0</v>
      </c>
      <c r="AD232" s="144">
        <f t="shared" si="35"/>
        <v>0</v>
      </c>
      <c r="AE232" s="144">
        <f t="shared" si="35"/>
        <v>0</v>
      </c>
      <c r="AF232" s="144">
        <f t="shared" si="35"/>
        <v>0</v>
      </c>
      <c r="AG232" s="154">
        <f t="shared" si="35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1533.04</v>
      </c>
      <c r="C241" s="170">
        <f>INDEX(G9:N9,1,MATCH(MAX(G89:N89),G89:N89,0))</f>
        <v>0.375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7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2079/12/7)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2079/12/7)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36">B89</f>
        <v>1411.94</v>
      </c>
      <c r="U246" s="180">
        <f t="shared" si="36"/>
        <v>1315.3400000000001</v>
      </c>
      <c r="V246" s="180">
        <f t="shared" si="36"/>
        <v>1259.94</v>
      </c>
      <c r="W246" s="180">
        <f t="shared" si="36"/>
        <v>1259.94</v>
      </c>
      <c r="X246" s="180">
        <f t="shared" si="36"/>
        <v>1238.94</v>
      </c>
      <c r="Y246" s="180">
        <f t="shared" si="36"/>
        <v>1243.44</v>
      </c>
      <c r="Z246" s="180">
        <f t="shared" si="36"/>
        <v>1243.54</v>
      </c>
      <c r="AA246" s="180">
        <f t="shared" si="36"/>
        <v>1281.94</v>
      </c>
      <c r="AB246" s="180">
        <f t="shared" si="36"/>
        <v>1309.3399999999997</v>
      </c>
      <c r="AC246" s="180">
        <f t="shared" si="36"/>
        <v>1293.3399999999999</v>
      </c>
      <c r="AD246" s="180">
        <f t="shared" si="36"/>
        <v>1392.24</v>
      </c>
      <c r="AE246" s="180">
        <f t="shared" si="36"/>
        <v>1516.1399999999999</v>
      </c>
      <c r="AF246" s="180">
        <f t="shared" si="36"/>
        <v>1533.04</v>
      </c>
      <c r="AG246" s="180">
        <f t="shared" si="36"/>
        <v>1533.74</v>
      </c>
      <c r="AH246" s="180">
        <f t="shared" si="36"/>
        <v>1582.94</v>
      </c>
      <c r="AI246" s="180">
        <f t="shared" si="36"/>
        <v>1564.1399999999999</v>
      </c>
      <c r="AJ246" s="180">
        <f t="shared" si="36"/>
        <v>1593.04</v>
      </c>
      <c r="AK246" s="180">
        <f t="shared" si="36"/>
        <v>1627.7400000000002</v>
      </c>
      <c r="AL246" s="180">
        <f t="shared" si="36"/>
        <v>1644.94</v>
      </c>
      <c r="AM246" s="180">
        <f t="shared" si="36"/>
        <v>1635.34</v>
      </c>
      <c r="AN246" s="180">
        <f t="shared" si="36"/>
        <v>1551.6399999999999</v>
      </c>
      <c r="AO246" s="180">
        <f t="shared" si="36"/>
        <v>1514.1399999999999</v>
      </c>
      <c r="AP246" s="180">
        <f t="shared" si="36"/>
        <v>1531.04</v>
      </c>
      <c r="AQ246" s="180">
        <f t="shared" si="36"/>
        <v>1573.14</v>
      </c>
      <c r="AR246" s="180">
        <f t="shared" si="36"/>
        <v>1761.24</v>
      </c>
      <c r="AS246" s="180">
        <f t="shared" si="36"/>
        <v>1749.64</v>
      </c>
      <c r="AT246" s="180">
        <f t="shared" si="36"/>
        <v>1730.04</v>
      </c>
      <c r="AU246" s="180">
        <f t="shared" si="36"/>
        <v>1704.5400000000002</v>
      </c>
      <c r="AV246" s="180">
        <f t="shared" si="36"/>
        <v>1672.04</v>
      </c>
      <c r="AW246" s="180">
        <f t="shared" si="36"/>
        <v>1591.4399999999998</v>
      </c>
      <c r="AX246" s="180">
        <f t="shared" si="36"/>
        <v>1508.04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37">C231</f>
        <v>0.64</v>
      </c>
      <c r="C267" s="183">
        <f t="shared" si="37"/>
        <v>0.64</v>
      </c>
      <c r="D267" s="183">
        <f t="shared" si="37"/>
        <v>0.64</v>
      </c>
      <c r="E267" s="183">
        <f t="shared" si="37"/>
        <v>0.64</v>
      </c>
      <c r="F267" s="183">
        <f t="shared" si="37"/>
        <v>0.64</v>
      </c>
      <c r="G267" s="183">
        <f t="shared" si="37"/>
        <v>0.64</v>
      </c>
      <c r="H267" s="183">
        <f t="shared" si="37"/>
        <v>0.64</v>
      </c>
      <c r="I267" s="183">
        <f t="shared" si="37"/>
        <v>0.64</v>
      </c>
      <c r="J267" s="183">
        <f t="shared" si="37"/>
        <v>0.64</v>
      </c>
      <c r="K267" s="183">
        <f t="shared" si="37"/>
        <v>0.64</v>
      </c>
      <c r="L267" s="183">
        <f t="shared" si="37"/>
        <v>0.64</v>
      </c>
      <c r="M267" s="183">
        <f t="shared" si="37"/>
        <v>0.64</v>
      </c>
      <c r="N267" s="183">
        <f t="shared" si="37"/>
        <v>0.64</v>
      </c>
      <c r="O267" s="183">
        <f t="shared" si="37"/>
        <v>0.64</v>
      </c>
      <c r="P267" s="183">
        <f t="shared" si="37"/>
        <v>0</v>
      </c>
      <c r="Q267" s="183">
        <f t="shared" si="37"/>
        <v>0</v>
      </c>
      <c r="R267" s="183">
        <f t="shared" si="37"/>
        <v>0</v>
      </c>
      <c r="S267" s="183">
        <f t="shared" si="37"/>
        <v>0</v>
      </c>
      <c r="T267" s="183">
        <f t="shared" si="37"/>
        <v>0</v>
      </c>
      <c r="U267" s="183">
        <f t="shared" si="37"/>
        <v>0</v>
      </c>
      <c r="V267" s="183">
        <f t="shared" si="37"/>
        <v>0</v>
      </c>
      <c r="W267" s="183">
        <f t="shared" si="37"/>
        <v>0</v>
      </c>
      <c r="X267" s="183">
        <f t="shared" si="37"/>
        <v>0</v>
      </c>
      <c r="Y267" s="183">
        <f t="shared" si="37"/>
        <v>0</v>
      </c>
      <c r="Z267" s="183">
        <f t="shared" si="37"/>
        <v>0</v>
      </c>
      <c r="AA267" s="183">
        <f t="shared" si="37"/>
        <v>0</v>
      </c>
      <c r="AB267" s="183">
        <f t="shared" si="37"/>
        <v>0</v>
      </c>
      <c r="AC267" s="183">
        <f t="shared" si="37"/>
        <v>0</v>
      </c>
      <c r="AD267" s="183">
        <f t="shared" si="37"/>
        <v>0</v>
      </c>
      <c r="AE267" s="183">
        <f t="shared" si="37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38">IF(B235&lt;100,"",B235-520)</f>
        <v/>
      </c>
      <c r="C268" s="184" t="str">
        <f t="shared" si="38"/>
        <v/>
      </c>
      <c r="D268" s="184" t="str">
        <f t="shared" si="38"/>
        <v/>
      </c>
      <c r="E268" s="184" t="str">
        <f t="shared" si="38"/>
        <v/>
      </c>
      <c r="F268" s="184" t="str">
        <f t="shared" si="38"/>
        <v/>
      </c>
      <c r="G268" s="184" t="str">
        <f t="shared" si="38"/>
        <v/>
      </c>
      <c r="H268" s="184" t="str">
        <f t="shared" si="38"/>
        <v/>
      </c>
      <c r="I268" s="184" t="str">
        <f t="shared" si="38"/>
        <v/>
      </c>
      <c r="J268" s="184" t="str">
        <f t="shared" si="38"/>
        <v/>
      </c>
      <c r="K268" s="184" t="str">
        <f t="shared" si="38"/>
        <v/>
      </c>
      <c r="L268" s="184" t="str">
        <f t="shared" si="38"/>
        <v/>
      </c>
      <c r="M268" s="184" t="str">
        <f t="shared" si="38"/>
        <v/>
      </c>
      <c r="N268" s="184" t="str">
        <f t="shared" si="38"/>
        <v/>
      </c>
      <c r="O268" s="184" t="str">
        <f t="shared" si="38"/>
        <v/>
      </c>
      <c r="P268" s="184" t="str">
        <f t="shared" si="38"/>
        <v/>
      </c>
      <c r="Q268" s="184" t="str">
        <f t="shared" si="38"/>
        <v/>
      </c>
      <c r="R268" s="184" t="str">
        <f t="shared" si="38"/>
        <v/>
      </c>
      <c r="S268" s="184" t="str">
        <f t="shared" si="38"/>
        <v/>
      </c>
      <c r="T268" s="184" t="str">
        <f t="shared" si="38"/>
        <v/>
      </c>
      <c r="U268" s="184" t="str">
        <f t="shared" si="38"/>
        <v/>
      </c>
      <c r="V268" s="184" t="str">
        <f t="shared" si="38"/>
        <v/>
      </c>
      <c r="W268" s="184" t="str">
        <f t="shared" si="38"/>
        <v/>
      </c>
      <c r="X268" s="184" t="str">
        <f t="shared" si="38"/>
        <v/>
      </c>
      <c r="Y268" s="184" t="str">
        <f t="shared" si="38"/>
        <v/>
      </c>
      <c r="Z268" s="184" t="str">
        <f t="shared" si="38"/>
        <v/>
      </c>
      <c r="AA268" s="184" t="str">
        <f t="shared" si="38"/>
        <v/>
      </c>
      <c r="AB268" s="184" t="str">
        <f t="shared" si="38"/>
        <v/>
      </c>
      <c r="AC268" s="184" t="str">
        <f t="shared" si="38"/>
        <v/>
      </c>
      <c r="AD268" s="184" t="str">
        <f t="shared" si="38"/>
        <v/>
      </c>
      <c r="AE268" s="184" t="str">
        <f t="shared" si="38"/>
        <v/>
      </c>
      <c r="AF268" s="184" t="str">
        <f t="shared" si="38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39">IF(B236&lt;100,"",B236-620)</f>
        <v/>
      </c>
      <c r="C269" s="184" t="str">
        <f t="shared" si="39"/>
        <v/>
      </c>
      <c r="D269" s="184" t="str">
        <f t="shared" si="39"/>
        <v/>
      </c>
      <c r="E269" s="184" t="str">
        <f t="shared" si="39"/>
        <v/>
      </c>
      <c r="F269" s="184" t="str">
        <f t="shared" si="39"/>
        <v/>
      </c>
      <c r="G269" s="184" t="str">
        <f t="shared" si="39"/>
        <v/>
      </c>
      <c r="H269" s="184" t="str">
        <f t="shared" si="39"/>
        <v/>
      </c>
      <c r="I269" s="184" t="str">
        <f t="shared" si="39"/>
        <v/>
      </c>
      <c r="J269" s="184" t="str">
        <f t="shared" si="39"/>
        <v/>
      </c>
      <c r="K269" s="184" t="str">
        <f t="shared" si="39"/>
        <v/>
      </c>
      <c r="L269" s="184" t="str">
        <f t="shared" si="39"/>
        <v/>
      </c>
      <c r="M269" s="184" t="str">
        <f t="shared" si="39"/>
        <v/>
      </c>
      <c r="N269" s="184" t="str">
        <f t="shared" si="39"/>
        <v/>
      </c>
      <c r="O269" s="184" t="str">
        <f t="shared" si="39"/>
        <v/>
      </c>
      <c r="P269" s="184" t="str">
        <f t="shared" si="39"/>
        <v/>
      </c>
      <c r="Q269" s="184" t="str">
        <f t="shared" si="39"/>
        <v/>
      </c>
      <c r="R269" s="184" t="str">
        <f t="shared" si="39"/>
        <v/>
      </c>
      <c r="S269" s="184" t="str">
        <f t="shared" si="39"/>
        <v/>
      </c>
      <c r="T269" s="184" t="str">
        <f t="shared" si="39"/>
        <v/>
      </c>
      <c r="U269" s="184" t="str">
        <f t="shared" si="39"/>
        <v/>
      </c>
      <c r="V269" s="184" t="str">
        <f t="shared" si="39"/>
        <v/>
      </c>
      <c r="W269" s="184" t="str">
        <f t="shared" si="39"/>
        <v/>
      </c>
      <c r="X269" s="184" t="str">
        <f t="shared" si="39"/>
        <v/>
      </c>
      <c r="Y269" s="184" t="str">
        <f t="shared" si="39"/>
        <v/>
      </c>
      <c r="Z269" s="184" t="str">
        <f t="shared" si="39"/>
        <v/>
      </c>
      <c r="AA269" s="184" t="str">
        <f t="shared" si="39"/>
        <v/>
      </c>
      <c r="AB269" s="184" t="str">
        <f t="shared" si="39"/>
        <v/>
      </c>
      <c r="AC269" s="184" t="str">
        <f t="shared" si="39"/>
        <v/>
      </c>
      <c r="AD269" s="184" t="str">
        <f t="shared" si="39"/>
        <v/>
      </c>
      <c r="AE269" s="184" t="str">
        <f t="shared" si="39"/>
        <v/>
      </c>
      <c r="AF269" s="184" t="str">
        <f t="shared" si="39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40">IF(B237&lt;100,"",B237-330)</f>
        <v/>
      </c>
      <c r="C270" s="184" t="str">
        <f t="shared" si="40"/>
        <v/>
      </c>
      <c r="D270" s="184" t="str">
        <f t="shared" si="40"/>
        <v/>
      </c>
      <c r="E270" s="184" t="str">
        <f t="shared" si="40"/>
        <v/>
      </c>
      <c r="F270" s="184" t="str">
        <f t="shared" si="40"/>
        <v/>
      </c>
      <c r="G270" s="184" t="str">
        <f t="shared" si="40"/>
        <v/>
      </c>
      <c r="H270" s="184" t="str">
        <f t="shared" si="40"/>
        <v/>
      </c>
      <c r="I270" s="184" t="str">
        <f t="shared" si="40"/>
        <v/>
      </c>
      <c r="J270" s="184" t="str">
        <f t="shared" si="40"/>
        <v/>
      </c>
      <c r="K270" s="184" t="str">
        <f t="shared" si="40"/>
        <v/>
      </c>
      <c r="L270" s="184" t="str">
        <f t="shared" si="40"/>
        <v/>
      </c>
      <c r="M270" s="184" t="str">
        <f t="shared" si="40"/>
        <v/>
      </c>
      <c r="N270" s="184" t="str">
        <f t="shared" si="40"/>
        <v/>
      </c>
      <c r="O270" s="184" t="str">
        <f t="shared" si="40"/>
        <v/>
      </c>
      <c r="P270" s="184" t="str">
        <f t="shared" si="40"/>
        <v/>
      </c>
      <c r="Q270" s="184" t="str">
        <f t="shared" si="40"/>
        <v/>
      </c>
      <c r="R270" s="184" t="str">
        <f t="shared" si="40"/>
        <v/>
      </c>
      <c r="S270" s="184" t="str">
        <f t="shared" si="40"/>
        <v/>
      </c>
      <c r="T270" s="184" t="str">
        <f t="shared" si="40"/>
        <v/>
      </c>
      <c r="U270" s="184" t="str">
        <f t="shared" si="40"/>
        <v/>
      </c>
      <c r="V270" s="184" t="str">
        <f t="shared" si="40"/>
        <v/>
      </c>
      <c r="W270" s="184" t="str">
        <f t="shared" si="40"/>
        <v/>
      </c>
      <c r="X270" s="184" t="str">
        <f t="shared" si="40"/>
        <v/>
      </c>
      <c r="Y270" s="184" t="str">
        <f t="shared" si="40"/>
        <v/>
      </c>
      <c r="Z270" s="184" t="str">
        <f t="shared" si="40"/>
        <v/>
      </c>
      <c r="AA270" s="184" t="str">
        <f t="shared" si="40"/>
        <v/>
      </c>
      <c r="AB270" s="184" t="str">
        <f t="shared" si="40"/>
        <v/>
      </c>
      <c r="AC270" s="184" t="str">
        <f t="shared" si="40"/>
        <v/>
      </c>
      <c r="AD270" s="184" t="str">
        <f t="shared" si="40"/>
        <v/>
      </c>
      <c r="AE270" s="184" t="str">
        <f t="shared" si="40"/>
        <v/>
      </c>
      <c r="AF270" s="184" t="str">
        <f t="shared" si="40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41">IF(B238&lt;100,"",B238-1500)</f>
        <v/>
      </c>
      <c r="C271" s="184" t="str">
        <f t="shared" si="41"/>
        <v/>
      </c>
      <c r="D271" s="184" t="str">
        <f t="shared" si="41"/>
        <v/>
      </c>
      <c r="E271" s="184" t="str">
        <f t="shared" si="41"/>
        <v/>
      </c>
      <c r="F271" s="184" t="str">
        <f t="shared" si="41"/>
        <v/>
      </c>
      <c r="G271" s="184" t="str">
        <f t="shared" si="41"/>
        <v/>
      </c>
      <c r="H271" s="184" t="str">
        <f t="shared" si="41"/>
        <v/>
      </c>
      <c r="I271" s="184" t="str">
        <f t="shared" si="41"/>
        <v/>
      </c>
      <c r="J271" s="184" t="str">
        <f t="shared" si="41"/>
        <v/>
      </c>
      <c r="K271" s="184" t="str">
        <f t="shared" si="41"/>
        <v/>
      </c>
      <c r="L271" s="184" t="str">
        <f t="shared" si="41"/>
        <v/>
      </c>
      <c r="M271" s="184" t="str">
        <f t="shared" si="41"/>
        <v/>
      </c>
      <c r="N271" s="184" t="str">
        <f t="shared" si="41"/>
        <v/>
      </c>
      <c r="O271" s="184" t="str">
        <f t="shared" si="41"/>
        <v/>
      </c>
      <c r="P271" s="184" t="str">
        <f t="shared" si="41"/>
        <v/>
      </c>
      <c r="Q271" s="184" t="str">
        <f t="shared" si="41"/>
        <v/>
      </c>
      <c r="R271" s="184" t="str">
        <f t="shared" si="41"/>
        <v/>
      </c>
      <c r="S271" s="184" t="str">
        <f t="shared" si="41"/>
        <v/>
      </c>
      <c r="T271" s="184" t="str">
        <f t="shared" si="41"/>
        <v/>
      </c>
      <c r="U271" s="184" t="str">
        <f t="shared" si="41"/>
        <v/>
      </c>
      <c r="V271" s="184" t="str">
        <f t="shared" si="41"/>
        <v/>
      </c>
      <c r="W271" s="184" t="str">
        <f t="shared" si="41"/>
        <v/>
      </c>
      <c r="X271" s="184" t="str">
        <f t="shared" si="41"/>
        <v/>
      </c>
      <c r="Y271" s="184" t="str">
        <f t="shared" si="41"/>
        <v/>
      </c>
      <c r="Z271" s="184" t="str">
        <f t="shared" si="41"/>
        <v/>
      </c>
      <c r="AA271" s="184" t="str">
        <f t="shared" si="41"/>
        <v/>
      </c>
      <c r="AB271" s="184" t="str">
        <f t="shared" si="41"/>
        <v/>
      </c>
      <c r="AC271" s="184" t="str">
        <f t="shared" si="41"/>
        <v/>
      </c>
      <c r="AD271" s="184" t="str">
        <f t="shared" si="41"/>
        <v/>
      </c>
      <c r="AE271" s="184" t="str">
        <f t="shared" si="41"/>
        <v/>
      </c>
      <c r="AF271" s="184" t="str">
        <f t="shared" si="41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8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79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7685" priority="375">
      <formula>B$9&gt;=20/24</formula>
    </cfRule>
    <cfRule type="expression" dxfId="7684" priority="376">
      <formula>AND(B$9&gt;=14/24,B$9&lt;20/24)</formula>
    </cfRule>
    <cfRule type="expression" dxfId="7683" priority="377">
      <formula>AND(B$9&gt;=8/24,B$9&lt;14/24)</formula>
    </cfRule>
    <cfRule type="expression" dxfId="7682" priority="378">
      <formula>B$9&lt;8/24</formula>
    </cfRule>
  </conditionalFormatting>
  <conditionalFormatting sqref="AL4:AL6">
    <cfRule type="iconSet" priority="374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7681" priority="373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7680" priority="372">
      <formula>$AH12=0</formula>
    </cfRule>
  </conditionalFormatting>
  <conditionalFormatting sqref="A114">
    <cfRule type="expression" dxfId="7679" priority="371">
      <formula>$AH114=0</formula>
    </cfRule>
  </conditionalFormatting>
  <conditionalFormatting sqref="AL42">
    <cfRule type="iconSet" priority="370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7678" priority="369">
      <formula>$AH45=0</formula>
    </cfRule>
  </conditionalFormatting>
  <conditionalFormatting sqref="A98">
    <cfRule type="expression" dxfId="7677" priority="368">
      <formula>$AH98=0</formula>
    </cfRule>
  </conditionalFormatting>
  <conditionalFormatting sqref="A18">
    <cfRule type="expression" dxfId="7676" priority="367">
      <formula>$AH18=0</formula>
    </cfRule>
  </conditionalFormatting>
  <conditionalFormatting sqref="A196:A201">
    <cfRule type="expression" dxfId="7675" priority="366">
      <formula>$AH196=0</formula>
    </cfRule>
  </conditionalFormatting>
  <conditionalFormatting sqref="A190:A195">
    <cfRule type="expression" dxfId="7674" priority="365">
      <formula>$AH190=0</formula>
    </cfRule>
  </conditionalFormatting>
  <conditionalFormatting sqref="A58">
    <cfRule type="expression" dxfId="7673" priority="364">
      <formula>$AH58=0</formula>
    </cfRule>
  </conditionalFormatting>
  <conditionalFormatting sqref="A94">
    <cfRule type="expression" dxfId="7672" priority="363">
      <formula>$AH94=0</formula>
    </cfRule>
  </conditionalFormatting>
  <conditionalFormatting sqref="AD99:AF99 F99:X99">
    <cfRule type="expression" dxfId="7671" priority="359">
      <formula>F$9&gt;=20/24</formula>
    </cfRule>
    <cfRule type="expression" dxfId="7670" priority="360">
      <formula>AND(F$9&gt;=14/24,F$9&lt;20/24)</formula>
    </cfRule>
    <cfRule type="expression" dxfId="7669" priority="361">
      <formula>AND(F$9&gt;=8/24,F$9&lt;14/24)</formula>
    </cfRule>
    <cfRule type="expression" dxfId="7668" priority="362">
      <formula>F$9&lt;8/24</formula>
    </cfRule>
  </conditionalFormatting>
  <conditionalFormatting sqref="AL43">
    <cfRule type="iconSet" priority="35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667" priority="381">
      <formula>C$9&gt;=20/24</formula>
    </cfRule>
    <cfRule type="expression" dxfId="7666" priority="382">
      <formula>AND(C$9&gt;=14/24,C$9&lt;20/24)</formula>
    </cfRule>
    <cfRule type="expression" dxfId="7665" priority="383">
      <formula>AND(C$9&gt;=8/24,C$9&lt;14/24)</formula>
    </cfRule>
    <cfRule type="expression" dxfId="7664" priority="384">
      <formula>C$9&lt;8/24</formula>
    </cfRule>
  </conditionalFormatting>
  <conditionalFormatting sqref="A233">
    <cfRule type="expression" dxfId="7663" priority="385">
      <formula>$AH233=0</formula>
    </cfRule>
  </conditionalFormatting>
  <conditionalFormatting sqref="AG245">
    <cfRule type="expression" dxfId="7662" priority="386">
      <formula>B$9&gt;=20/24</formula>
    </cfRule>
    <cfRule type="expression" dxfId="7661" priority="387">
      <formula>AND(B$9&gt;=14/24,B$9&lt;20/24)</formula>
    </cfRule>
    <cfRule type="expression" dxfId="7660" priority="388">
      <formula>AND(B$9&gt;=8/24,B$9&lt;14/24)</formula>
    </cfRule>
    <cfRule type="expression" dxfId="7659" priority="389">
      <formula>B$9&lt;8/24</formula>
    </cfRule>
  </conditionalFormatting>
  <conditionalFormatting sqref="S8">
    <cfRule type="expression" dxfId="7658" priority="354">
      <formula>U$9&gt;=20/24</formula>
    </cfRule>
    <cfRule type="expression" dxfId="7657" priority="355">
      <formula>AND(U$9&gt;=14/24,U$9&lt;20/24)</formula>
    </cfRule>
    <cfRule type="expression" dxfId="7656" priority="356">
      <formula>AND(U$9&gt;=8/24,U$9&lt;14/24)</formula>
    </cfRule>
    <cfRule type="expression" dxfId="7655" priority="357">
      <formula>U$9&lt;8/24</formula>
    </cfRule>
  </conditionalFormatting>
  <conditionalFormatting sqref="AB8">
    <cfRule type="expression" dxfId="7654" priority="350">
      <formula>AD$9&gt;=20/24</formula>
    </cfRule>
    <cfRule type="expression" dxfId="7653" priority="351">
      <formula>AND(AD$9&gt;=14/24,AD$9&lt;20/24)</formula>
    </cfRule>
    <cfRule type="expression" dxfId="7652" priority="352">
      <formula>AND(AD$9&gt;=8/24,AD$9&lt;14/24)</formula>
    </cfRule>
    <cfRule type="expression" dxfId="7651" priority="353">
      <formula>AD$9&lt;8/24</formula>
    </cfRule>
  </conditionalFormatting>
  <conditionalFormatting sqref="AH245:AX245">
    <cfRule type="expression" dxfId="7650" priority="390">
      <formula>AG$9&gt;=20/24</formula>
    </cfRule>
    <cfRule type="expression" dxfId="7649" priority="391">
      <formula>AND(AG$9&gt;=14/24,AG$9&lt;20/24)</formula>
    </cfRule>
    <cfRule type="expression" dxfId="7648" priority="392">
      <formula>AND(AG$9&gt;=8/24,AG$9&lt;14/24)</formula>
    </cfRule>
    <cfRule type="expression" dxfId="7647" priority="393">
      <formula>AG$9&lt;8/24</formula>
    </cfRule>
  </conditionalFormatting>
  <conditionalFormatting sqref="T245">
    <cfRule type="expression" dxfId="7646" priority="394">
      <formula>AX$9&gt;=20/24</formula>
    </cfRule>
    <cfRule type="expression" dxfId="7645" priority="395">
      <formula>AND(AX$9&gt;=14/24,AX$9&lt;20/24)</formula>
    </cfRule>
    <cfRule type="expression" dxfId="7644" priority="396">
      <formula>AND(AX$9&gt;=8/24,AX$9&lt;14/24)</formula>
    </cfRule>
    <cfRule type="expression" dxfId="7643" priority="397">
      <formula>AX$9&lt;8/24</formula>
    </cfRule>
  </conditionalFormatting>
  <conditionalFormatting sqref="A115:A116">
    <cfRule type="expression" dxfId="7642" priority="349">
      <formula>$AH115=0</formula>
    </cfRule>
  </conditionalFormatting>
  <conditionalFormatting sqref="M54:Q58 R57:R58 T71:AF71 I71:R71 AD54:AF57">
    <cfRule type="expression" dxfId="7641" priority="345">
      <formula>I$9&gt;=20/24</formula>
    </cfRule>
    <cfRule type="expression" dxfId="7640" priority="346">
      <formula>AND(I$9&gt;=14/24,I$9&lt;20/24)</formula>
    </cfRule>
    <cfRule type="expression" dxfId="7639" priority="347">
      <formula>AND(I$9&gt;=8/24,I$9&lt;14/24)</formula>
    </cfRule>
    <cfRule type="expression" dxfId="7638" priority="348">
      <formula>I$9&lt;8/24</formula>
    </cfRule>
  </conditionalFormatting>
  <conditionalFormatting sqref="AD53:AF53 M53:Q53">
    <cfRule type="expression" dxfId="7637" priority="341">
      <formula>M$9&gt;=20/24</formula>
    </cfRule>
    <cfRule type="expression" dxfId="7636" priority="342">
      <formula>AND(M$9&gt;=14/24,M$9&lt;20/24)</formula>
    </cfRule>
    <cfRule type="expression" dxfId="7635" priority="343">
      <formula>AND(M$9&gt;=8/24,M$9&lt;14/24)</formula>
    </cfRule>
    <cfRule type="expression" dxfId="7634" priority="344">
      <formula>M$9&lt;8/24</formula>
    </cfRule>
  </conditionalFormatting>
  <conditionalFormatting sqref="M53:Q58 R57:R58 AD53:AF57">
    <cfRule type="expression" dxfId="7633" priority="340">
      <formula>M53&gt;$AG53</formula>
    </cfRule>
  </conditionalFormatting>
  <conditionalFormatting sqref="X96:AF96 X47:AF47 D86:AF86 M100:X106 T72:Y73 Z72:AF74 J72:R73 AC67:AF69 AD100:AF106">
    <cfRule type="expression" dxfId="7632" priority="336">
      <formula>D$9&gt;=20/24</formula>
    </cfRule>
    <cfRule type="expression" dxfId="7631" priority="337">
      <formula>AND(D$9&gt;=14/24,D$9&lt;20/24)</formula>
    </cfRule>
    <cfRule type="expression" dxfId="7630" priority="338">
      <formula>AND(D$9&gt;=8/24,D$9&lt;14/24)</formula>
    </cfRule>
    <cfRule type="expression" dxfId="7629" priority="339">
      <formula>D$9&lt;8/24</formula>
    </cfRule>
  </conditionalFormatting>
  <conditionalFormatting sqref="X47:AF47 AC67:AF69">
    <cfRule type="expression" dxfId="7628" priority="335">
      <formula>X47&gt;$AG47</formula>
    </cfRule>
  </conditionalFormatting>
  <conditionalFormatting sqref="R53:Y56 Z53:AC58">
    <cfRule type="expression" dxfId="7627" priority="331">
      <formula>R$9&gt;=20/24</formula>
    </cfRule>
    <cfRule type="expression" dxfId="7626" priority="332">
      <formula>AND(R$9&gt;=14/24,R$9&lt;20/24)</formula>
    </cfRule>
    <cfRule type="expression" dxfId="7625" priority="333">
      <formula>AND(R$9&gt;=8/24,R$9&lt;14/24)</formula>
    </cfRule>
    <cfRule type="expression" dxfId="7624" priority="334">
      <formula>R$9&lt;8/24</formula>
    </cfRule>
  </conditionalFormatting>
  <conditionalFormatting sqref="R53:Y56 Z53:AC58">
    <cfRule type="expression" dxfId="7623" priority="330">
      <formula>R53&gt;$AG53</formula>
    </cfRule>
  </conditionalFormatting>
  <conditionalFormatting sqref="C97:AF97 D88:AF88">
    <cfRule type="expression" dxfId="7622" priority="326">
      <formula>C$9&gt;=20/24</formula>
    </cfRule>
    <cfRule type="expression" dxfId="7621" priority="327">
      <formula>AND(C$9&gt;=14/24,C$9&lt;20/24)</formula>
    </cfRule>
    <cfRule type="expression" dxfId="7620" priority="328">
      <formula>AND(C$9&gt;=8/24,C$9&lt;14/24)</formula>
    </cfRule>
    <cfRule type="expression" dxfId="7619" priority="329">
      <formula>C$9&lt;8/24</formula>
    </cfRule>
  </conditionalFormatting>
  <conditionalFormatting sqref="T47:W47">
    <cfRule type="expression" dxfId="7618" priority="322">
      <formula>T$9&gt;=20/24</formula>
    </cfRule>
    <cfRule type="expression" dxfId="7617" priority="323">
      <formula>AND(T$9&gt;=14/24,T$9&lt;20/24)</formula>
    </cfRule>
    <cfRule type="expression" dxfId="7616" priority="324">
      <formula>AND(T$9&gt;=8/24,T$9&lt;14/24)</formula>
    </cfRule>
    <cfRule type="expression" dxfId="7615" priority="325">
      <formula>T$9&lt;8/24</formula>
    </cfRule>
  </conditionalFormatting>
  <conditionalFormatting sqref="T47:W47">
    <cfRule type="expression" dxfId="7614" priority="321">
      <formula>T47&gt;$AG47</formula>
    </cfRule>
  </conditionalFormatting>
  <conditionalFormatting sqref="H54:L54">
    <cfRule type="expression" dxfId="7613" priority="317">
      <formula>H$9&gt;=20/24</formula>
    </cfRule>
    <cfRule type="expression" dxfId="7612" priority="318">
      <formula>AND(H$9&gt;=14/24,H$9&lt;20/24)</formula>
    </cfRule>
    <cfRule type="expression" dxfId="7611" priority="319">
      <formula>AND(H$9&gt;=8/24,H$9&lt;14/24)</formula>
    </cfRule>
    <cfRule type="expression" dxfId="7610" priority="320">
      <formula>H$9&lt;8/24</formula>
    </cfRule>
  </conditionalFormatting>
  <conditionalFormatting sqref="H54:L54">
    <cfRule type="expression" dxfId="7609" priority="312">
      <formula>H54&gt;$AG54</formula>
    </cfRule>
  </conditionalFormatting>
  <conditionalFormatting sqref="AG70 AG87 F100:L106">
    <cfRule type="expression" dxfId="7608" priority="308">
      <formula>F$9&gt;=20/24</formula>
    </cfRule>
    <cfRule type="expression" dxfId="7607" priority="309">
      <formula>AND(F$9&gt;=14/24,F$9&lt;20/24)</formula>
    </cfRule>
    <cfRule type="expression" dxfId="7606" priority="310">
      <formula>AND(F$9&gt;=8/24,F$9&lt;14/24)</formula>
    </cfRule>
    <cfRule type="expression" dxfId="7605" priority="311">
      <formula>F$9&lt;8/24</formula>
    </cfRule>
  </conditionalFormatting>
  <conditionalFormatting sqref="AG48 AG66 AG70">
    <cfRule type="expression" dxfId="7604" priority="307">
      <formula>AG48&gt;$AG48</formula>
    </cfRule>
  </conditionalFormatting>
  <conditionalFormatting sqref="AD58:AF58">
    <cfRule type="expression" dxfId="7603" priority="303">
      <formula>AD$9&gt;=20/24</formula>
    </cfRule>
    <cfRule type="expression" dxfId="7602" priority="304">
      <formula>AND(AD$9&gt;=14/24,AD$9&lt;20/24)</formula>
    </cfRule>
    <cfRule type="expression" dxfId="7601" priority="305">
      <formula>AND(AD$9&gt;=8/24,AD$9&lt;14/24)</formula>
    </cfRule>
    <cfRule type="expression" dxfId="7600" priority="306">
      <formula>AD$9&lt;8/24</formula>
    </cfRule>
  </conditionalFormatting>
  <conditionalFormatting sqref="AD58:AF58">
    <cfRule type="expression" dxfId="7599" priority="302">
      <formula>AD58&gt;$AG58</formula>
    </cfRule>
  </conditionalFormatting>
  <conditionalFormatting sqref="A43">
    <cfRule type="expression" dxfId="7598" priority="301">
      <formula>$AH43=0</formula>
    </cfRule>
  </conditionalFormatting>
  <conditionalFormatting sqref="X91:AF95">
    <cfRule type="expression" dxfId="7597" priority="297">
      <formula>X$9&gt;=20/24</formula>
    </cfRule>
    <cfRule type="expression" dxfId="7596" priority="298">
      <formula>AND(X$9&gt;=14/24,X$9&lt;20/24)</formula>
    </cfRule>
    <cfRule type="expression" dxfId="7595" priority="299">
      <formula>AND(X$9&gt;=8/24,X$9&lt;14/24)</formula>
    </cfRule>
    <cfRule type="expression" dxfId="7594" priority="300">
      <formula>X$9&lt;8/24</formula>
    </cfRule>
  </conditionalFormatting>
  <conditionalFormatting sqref="AL45 AL41 AL22:AL32 AL38:AL39 AL7:AL15 AL17:AL20 AL34:AL36">
    <cfRule type="iconSet" priority="398">
      <iconSet iconSet="3TrafficLights2" reverse="1">
        <cfvo type="percent" val="0"/>
        <cfvo type="num" val="1"/>
        <cfvo type="num" val="1"/>
      </iconSet>
    </cfRule>
  </conditionalFormatting>
  <conditionalFormatting sqref="M49:AF51">
    <cfRule type="expression" dxfId="7593" priority="293">
      <formula>M$9&gt;=20/24</formula>
    </cfRule>
    <cfRule type="expression" dxfId="7592" priority="294">
      <formula>AND(M$9&gt;=14/24,M$9&lt;20/24)</formula>
    </cfRule>
    <cfRule type="expression" dxfId="7591" priority="295">
      <formula>AND(M$9&gt;=8/24,M$9&lt;14/24)</formula>
    </cfRule>
    <cfRule type="expression" dxfId="7590" priority="296">
      <formula>M$9&lt;8/24</formula>
    </cfRule>
  </conditionalFormatting>
  <conditionalFormatting sqref="M49:AF51">
    <cfRule type="expression" dxfId="7589" priority="292">
      <formula>M49&gt;$AG49</formula>
    </cfRule>
  </conditionalFormatting>
  <conditionalFormatting sqref="AG52">
    <cfRule type="expression" dxfId="7588" priority="288">
      <formula>AG$9&gt;=20/24</formula>
    </cfRule>
    <cfRule type="expression" dxfId="7587" priority="289">
      <formula>AND(AG$9&gt;=14/24,AG$9&lt;20/24)</formula>
    </cfRule>
    <cfRule type="expression" dxfId="7586" priority="290">
      <formula>AND(AG$9&gt;=8/24,AG$9&lt;14/24)</formula>
    </cfRule>
    <cfRule type="expression" dxfId="7585" priority="291">
      <formula>AG$9&lt;8/24</formula>
    </cfRule>
  </conditionalFormatting>
  <conditionalFormatting sqref="AG52">
    <cfRule type="expression" dxfId="7584" priority="287">
      <formula>AG52&gt;$AG52</formula>
    </cfRule>
  </conditionalFormatting>
  <conditionalFormatting sqref="C107:AF107">
    <cfRule type="expression" dxfId="7583" priority="283">
      <formula>C$9&gt;=20/24</formula>
    </cfRule>
    <cfRule type="expression" dxfId="7582" priority="284">
      <formula>AND(C$9&gt;=14/24,C$9&lt;20/24)</formula>
    </cfRule>
    <cfRule type="expression" dxfId="7581" priority="285">
      <formula>AND(C$9&gt;=8/24,C$9&lt;14/24)</formula>
    </cfRule>
    <cfRule type="expression" dxfId="7580" priority="286">
      <formula>C$9&lt;8/24</formula>
    </cfRule>
  </conditionalFormatting>
  <conditionalFormatting sqref="AL40">
    <cfRule type="iconSet" priority="282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7579" priority="281">
      <formula>$AH40=0</formula>
    </cfRule>
  </conditionalFormatting>
  <conditionalFormatting sqref="A90">
    <cfRule type="expression" dxfId="7578" priority="279">
      <formula>$AH90=0</formula>
    </cfRule>
  </conditionalFormatting>
  <conditionalFormatting sqref="A87">
    <cfRule type="expression" dxfId="7577" priority="280">
      <formula>$AH87=0</formula>
    </cfRule>
  </conditionalFormatting>
  <conditionalFormatting sqref="D110:AF110">
    <cfRule type="expression" dxfId="7576" priority="275">
      <formula>D$9&gt;=20/24</formula>
    </cfRule>
    <cfRule type="expression" dxfId="7575" priority="276">
      <formula>AND(D$9&gt;=14/24,D$9&lt;20/24)</formula>
    </cfRule>
    <cfRule type="expression" dxfId="7574" priority="277">
      <formula>AND(D$9&gt;=8/24,D$9&lt;14/24)</formula>
    </cfRule>
    <cfRule type="expression" dxfId="7573" priority="278">
      <formula>D$9&lt;8/24</formula>
    </cfRule>
  </conditionalFormatting>
  <conditionalFormatting sqref="A110">
    <cfRule type="expression" dxfId="7572" priority="274">
      <formula>$AH110=0</formula>
    </cfRule>
  </conditionalFormatting>
  <conditionalFormatting sqref="A21">
    <cfRule type="expression" dxfId="7571" priority="272">
      <formula>$AH21=0</formula>
    </cfRule>
  </conditionalFormatting>
  <conditionalFormatting sqref="AL21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7570" priority="270">
      <formula>$AH37=0</formula>
    </cfRule>
  </conditionalFormatting>
  <conditionalFormatting sqref="AL37">
    <cfRule type="iconSet" priority="271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7569" priority="266">
      <formula>Y$9&gt;=20/24</formula>
    </cfRule>
    <cfRule type="expression" dxfId="7568" priority="267">
      <formula>AND(Y$9&gt;=14/24,Y$9&lt;20/24)</formula>
    </cfRule>
    <cfRule type="expression" dxfId="7567" priority="268">
      <formula>AND(Y$9&gt;=8/24,Y$9&lt;14/24)</formula>
    </cfRule>
    <cfRule type="expression" dxfId="7566" priority="269">
      <formula>Y$9&lt;8/24</formula>
    </cfRule>
  </conditionalFormatting>
  <conditionalFormatting sqref="Y100:AC106">
    <cfRule type="expression" dxfId="7565" priority="262">
      <formula>Y$9&gt;=20/24</formula>
    </cfRule>
    <cfRule type="expression" dxfId="7564" priority="263">
      <formula>AND(Y$9&gt;=14/24,Y$9&lt;20/24)</formula>
    </cfRule>
    <cfRule type="expression" dxfId="7563" priority="264">
      <formula>AND(Y$9&gt;=8/24,Y$9&lt;14/24)</formula>
    </cfRule>
    <cfRule type="expression" dxfId="7562" priority="265">
      <formula>Y$9&lt;8/24</formula>
    </cfRule>
  </conditionalFormatting>
  <conditionalFormatting sqref="C109 C111:C116 M17:Y18 Z34:AF43 Z17:AF32">
    <cfRule type="expression" dxfId="7561" priority="258">
      <formula>C$9&gt;=20/24</formula>
    </cfRule>
    <cfRule type="expression" dxfId="7560" priority="259">
      <formula>AND(C$9&gt;=14/24,C$9&lt;20/24)</formula>
    </cfRule>
    <cfRule type="expression" dxfId="7559" priority="260">
      <formula>AND(C$9&gt;=8/24,C$9&lt;14/24)</formula>
    </cfRule>
    <cfRule type="expression" dxfId="7558" priority="261">
      <formula>C$9&lt;8/24</formula>
    </cfRule>
  </conditionalFormatting>
  <conditionalFormatting sqref="C47:S47">
    <cfRule type="expression" dxfId="7557" priority="254">
      <formula>C$9&gt;=20/24</formula>
    </cfRule>
    <cfRule type="expression" dxfId="7556" priority="255">
      <formula>AND(C$9&gt;=14/24,C$9&lt;20/24)</formula>
    </cfRule>
    <cfRule type="expression" dxfId="7555" priority="256">
      <formula>AND(C$9&gt;=8/24,C$9&lt;14/24)</formula>
    </cfRule>
    <cfRule type="expression" dxfId="7554" priority="257">
      <formula>C$9&lt;8/24</formula>
    </cfRule>
  </conditionalFormatting>
  <conditionalFormatting sqref="C47:S47 M17:Y18 Z34:AF43 Z17:AF32">
    <cfRule type="expression" dxfId="7553" priority="253">
      <formula>C17&gt;$AG17</formula>
    </cfRule>
  </conditionalFormatting>
  <conditionalFormatting sqref="C99:E99">
    <cfRule type="expression" dxfId="7552" priority="249">
      <formula>C$9&gt;=20/24</formula>
    </cfRule>
    <cfRule type="expression" dxfId="7551" priority="250">
      <formula>AND(C$9&gt;=14/24,C$9&lt;20/24)</formula>
    </cfRule>
    <cfRule type="expression" dxfId="7550" priority="251">
      <formula>AND(C$9&gt;=8/24,C$9&lt;14/24)</formula>
    </cfRule>
    <cfRule type="expression" dxfId="7549" priority="252">
      <formula>C$9&lt;8/24</formula>
    </cfRule>
  </conditionalFormatting>
  <conditionalFormatting sqref="C86 C96:W96 C83:AF85 T74:Y75 Z75:AF76 D100:E106 I67:R69 K74:R76">
    <cfRule type="expression" dxfId="7548" priority="245">
      <formula>C$9&gt;=20/24</formula>
    </cfRule>
    <cfRule type="expression" dxfId="7547" priority="246">
      <formula>AND(C$9&gt;=14/24,C$9&lt;20/24)</formula>
    </cfRule>
    <cfRule type="expression" dxfId="7546" priority="247">
      <formula>AND(C$9&gt;=8/24,C$9&lt;14/24)</formula>
    </cfRule>
    <cfRule type="expression" dxfId="7545" priority="248">
      <formula>C$9&lt;8/24</formula>
    </cfRule>
  </conditionalFormatting>
  <conditionalFormatting sqref="I67:R69">
    <cfRule type="expression" dxfId="7544" priority="244">
      <formula>I67&gt;$AG67</formula>
    </cfRule>
  </conditionalFormatting>
  <conditionalFormatting sqref="B54:G57 B71:H71 H55:L57">
    <cfRule type="expression" dxfId="7543" priority="168">
      <formula>B$9&gt;=20/24</formula>
    </cfRule>
    <cfRule type="expression" dxfId="7542" priority="169">
      <formula>AND(B$9&gt;=14/24,B$9&lt;20/24)</formula>
    </cfRule>
    <cfRule type="expression" dxfId="7541" priority="170">
      <formula>AND(B$9&gt;=8/24,B$9&lt;14/24)</formula>
    </cfRule>
    <cfRule type="expression" dxfId="7540" priority="171">
      <formula>B$9&lt;8/24</formula>
    </cfRule>
  </conditionalFormatting>
  <conditionalFormatting sqref="C98:AF98 C87:AF87 C89:AF89 C70:AF70">
    <cfRule type="expression" dxfId="7539" priority="235">
      <formula>C$9&gt;=20/24</formula>
    </cfRule>
    <cfRule type="expression" dxfId="7538" priority="236">
      <formula>AND(C$9&gt;=14/24,C$9&lt;20/24)</formula>
    </cfRule>
    <cfRule type="expression" dxfId="7537" priority="237">
      <formula>AND(C$9&gt;=8/24,C$9&lt;14/24)</formula>
    </cfRule>
    <cfRule type="expression" dxfId="7536" priority="238">
      <formula>C$9&lt;8/24</formula>
    </cfRule>
  </conditionalFormatting>
  <conditionalFormatting sqref="C70:AF70 C65:AF66 C48:AF48">
    <cfRule type="expression" dxfId="7535" priority="234">
      <formula>C48&gt;$AG48</formula>
    </cfRule>
  </conditionalFormatting>
  <conditionalFormatting sqref="C82:AF82">
    <cfRule type="expression" dxfId="7534" priority="230">
      <formula>C$9&gt;=20/24</formula>
    </cfRule>
    <cfRule type="expression" dxfId="7533" priority="231">
      <formula>AND(C$9&gt;=14/24,C$9&lt;20/24)</formula>
    </cfRule>
    <cfRule type="expression" dxfId="7532" priority="232">
      <formula>AND(C$9&gt;=8/24,C$9&lt;14/24)</formula>
    </cfRule>
    <cfRule type="expression" dxfId="7531" priority="233">
      <formula>C$9&lt;8/24</formula>
    </cfRule>
  </conditionalFormatting>
  <conditionalFormatting sqref="C91:W95">
    <cfRule type="expression" dxfId="7530" priority="226">
      <formula>C$9&gt;=20/24</formula>
    </cfRule>
    <cfRule type="expression" dxfId="7529" priority="227">
      <formula>AND(C$9&gt;=14/24,C$9&lt;20/24)</formula>
    </cfRule>
    <cfRule type="expression" dxfId="7528" priority="228">
      <formula>AND(C$9&gt;=8/24,C$9&lt;14/24)</formula>
    </cfRule>
    <cfRule type="expression" dxfId="7527" priority="229">
      <formula>C$9&lt;8/24</formula>
    </cfRule>
  </conditionalFormatting>
  <conditionalFormatting sqref="C52:AF52">
    <cfRule type="expression" dxfId="7526" priority="222">
      <formula>C$9&gt;=20/24</formula>
    </cfRule>
    <cfRule type="expression" dxfId="7525" priority="223">
      <formula>AND(C$9&gt;=14/24,C$9&lt;20/24)</formula>
    </cfRule>
    <cfRule type="expression" dxfId="7524" priority="224">
      <formula>AND(C$9&gt;=8/24,C$9&lt;14/24)</formula>
    </cfRule>
    <cfRule type="expression" dxfId="7523" priority="225">
      <formula>C$9&lt;8/24</formula>
    </cfRule>
  </conditionalFormatting>
  <conditionalFormatting sqref="C52:AF52">
    <cfRule type="expression" dxfId="7522" priority="221">
      <formula>C52&gt;$AG52</formula>
    </cfRule>
  </conditionalFormatting>
  <conditionalFormatting sqref="B49:L51">
    <cfRule type="expression" dxfId="7521" priority="136">
      <formula>B$9&gt;=20/24</formula>
    </cfRule>
    <cfRule type="expression" dxfId="7520" priority="137">
      <formula>AND(B$9&gt;=14/24,B$9&lt;20/24)</formula>
    </cfRule>
    <cfRule type="expression" dxfId="7519" priority="138">
      <formula>AND(B$9&gt;=8/24,B$9&lt;14/24)</formula>
    </cfRule>
    <cfRule type="expression" dxfId="7518" priority="139">
      <formula>B$9&lt;8/24</formula>
    </cfRule>
  </conditionalFormatting>
  <conditionalFormatting sqref="C110">
    <cfRule type="expression" dxfId="7517" priority="213">
      <formula>C$9&gt;=20/24</formula>
    </cfRule>
    <cfRule type="expression" dxfId="7516" priority="214">
      <formula>AND(C$9&gt;=14/24,C$9&lt;20/24)</formula>
    </cfRule>
    <cfRule type="expression" dxfId="7515" priority="215">
      <formula>AND(C$9&gt;=8/24,C$9&lt;14/24)</formula>
    </cfRule>
    <cfRule type="expression" dxfId="7514" priority="216">
      <formula>C$9&lt;8/24</formula>
    </cfRule>
  </conditionalFormatting>
  <conditionalFormatting sqref="M59:R59 Z59:AF64">
    <cfRule type="expression" dxfId="7513" priority="209">
      <formula>M$9&gt;=20/24</formula>
    </cfRule>
    <cfRule type="expression" dxfId="7512" priority="210">
      <formula>AND(M$9&gt;=14/24,M$9&lt;20/24)</formula>
    </cfRule>
    <cfRule type="expression" dxfId="7511" priority="211">
      <formula>AND(M$9&gt;=8/24,M$9&lt;14/24)</formula>
    </cfRule>
    <cfRule type="expression" dxfId="7510" priority="212">
      <formula>M$9&lt;8/24</formula>
    </cfRule>
  </conditionalFormatting>
  <conditionalFormatting sqref="M59:R59 Z59:AF64">
    <cfRule type="expression" dxfId="7509" priority="208">
      <formula>M59&gt;$AG59</formula>
    </cfRule>
  </conditionalFormatting>
  <conditionalFormatting sqref="Z45:AF45 M13:AF15">
    <cfRule type="expression" dxfId="7508" priority="207">
      <formula>M13&gt;$AG13</formula>
    </cfRule>
  </conditionalFormatting>
  <conditionalFormatting sqref="M12:AF12">
    <cfRule type="expression" dxfId="7507" priority="203">
      <formula>M$9&gt;=20/24</formula>
    </cfRule>
    <cfRule type="expression" dxfId="7506" priority="204">
      <formula>AND(M$9&gt;=14/24,M$9&lt;20/24)</formula>
    </cfRule>
    <cfRule type="expression" dxfId="7505" priority="205">
      <formula>AND(M$9&gt;=8/24,M$9&lt;14/24)</formula>
    </cfRule>
    <cfRule type="expression" dxfId="7504" priority="206">
      <formula>M$9&lt;8/24</formula>
    </cfRule>
  </conditionalFormatting>
  <conditionalFormatting sqref="M12:AF12">
    <cfRule type="expression" dxfId="7503" priority="202">
      <formula>M12&gt;$AG12</formula>
    </cfRule>
  </conditionalFormatting>
  <conditionalFormatting sqref="M13:AF15">
    <cfRule type="expression" dxfId="7502" priority="198">
      <formula>M$9&gt;=20/24</formula>
    </cfRule>
    <cfRule type="expression" dxfId="7501" priority="199">
      <formula>AND(M$9&gt;=14/24,M$9&lt;20/24)</formula>
    </cfRule>
    <cfRule type="expression" dxfId="7500" priority="200">
      <formula>AND(M$9&gt;=8/24,M$9&lt;14/24)</formula>
    </cfRule>
    <cfRule type="expression" dxfId="7499" priority="201">
      <formula>M$9&lt;8/24</formula>
    </cfRule>
  </conditionalFormatting>
  <conditionalFormatting sqref="Z45:AF45">
    <cfRule type="expression" dxfId="7498" priority="194">
      <formula>Z$9&gt;=20/24</formula>
    </cfRule>
    <cfRule type="expression" dxfId="7497" priority="195">
      <formula>AND(Z$9&gt;=14/24,Z$9&lt;20/24)</formula>
    </cfRule>
    <cfRule type="expression" dxfId="7496" priority="196">
      <formula>AND(Z$9&gt;=8/24,Z$9&lt;14/24)</formula>
    </cfRule>
    <cfRule type="expression" dxfId="7495" priority="197">
      <formula>Z$9&lt;8/24</formula>
    </cfRule>
  </conditionalFormatting>
  <conditionalFormatting sqref="Z77:AF81">
    <cfRule type="expression" dxfId="7494" priority="190">
      <formula>Z$9&gt;=20/24</formula>
    </cfRule>
    <cfRule type="expression" dxfId="7493" priority="191">
      <formula>AND(Z$9&gt;=14/24,Z$9&lt;20/24)</formula>
    </cfRule>
    <cfRule type="expression" dxfId="7492" priority="192">
      <formula>AND(Z$9&gt;=8/24,Z$9&lt;14/24)</formula>
    </cfRule>
    <cfRule type="expression" dxfId="7491" priority="193">
      <formula>Z$9&lt;8/24</formula>
    </cfRule>
  </conditionalFormatting>
  <conditionalFormatting sqref="AL78:AN78 AL84:AN84 AN79:AN80">
    <cfRule type="expression" dxfId="7490" priority="186">
      <formula>AL$9&gt;=20/24</formula>
    </cfRule>
    <cfRule type="expression" dxfId="7489" priority="187">
      <formula>AND(AL$9&gt;=14/24,AL$9&lt;20/24)</formula>
    </cfRule>
    <cfRule type="expression" dxfId="7488" priority="188">
      <formula>AND(AL$9&gt;=8/24,AL$9&lt;14/24)</formula>
    </cfRule>
    <cfRule type="expression" dxfId="7487" priority="189">
      <formula>AL$9&lt;8/24</formula>
    </cfRule>
  </conditionalFormatting>
  <conditionalFormatting sqref="AN81:AN82">
    <cfRule type="expression" dxfId="7486" priority="182">
      <formula>AN$9&gt;=20/24</formula>
    </cfRule>
    <cfRule type="expression" dxfId="7485" priority="183">
      <formula>AND(AN$9&gt;=14/24,AN$9&lt;20/24)</formula>
    </cfRule>
    <cfRule type="expression" dxfId="7484" priority="184">
      <formula>AND(AN$9&gt;=8/24,AN$9&lt;14/24)</formula>
    </cfRule>
    <cfRule type="expression" dxfId="7483" priority="185">
      <formula>AN$9&lt;8/24</formula>
    </cfRule>
  </conditionalFormatting>
  <conditionalFormatting sqref="AL79:AM83">
    <cfRule type="expression" dxfId="7482" priority="399">
      <formula>AJ$9&gt;=20/24</formula>
    </cfRule>
    <cfRule type="expression" dxfId="7481" priority="400">
      <formula>AND(AJ$9&gt;=14/24,AJ$9&lt;20/24)</formula>
    </cfRule>
    <cfRule type="expression" dxfId="7480" priority="401">
      <formula>AND(AJ$9&gt;=8/24,AJ$9&lt;14/24)</formula>
    </cfRule>
    <cfRule type="expression" dxfId="7479" priority="402">
      <formula>AJ$9&lt;8/24</formula>
    </cfRule>
  </conditionalFormatting>
  <conditionalFormatting sqref="A117">
    <cfRule type="expression" dxfId="7478" priority="181">
      <formula>$AH117=0</formula>
    </cfRule>
  </conditionalFormatting>
  <conditionalFormatting sqref="B109 B111:B116 B12:L15 B17:L32 M19:Y32 B34:Y43 B45:Y45">
    <cfRule type="expression" dxfId="7477" priority="177">
      <formula>B$9&gt;=20/24</formula>
    </cfRule>
    <cfRule type="expression" dxfId="7476" priority="178">
      <formula>AND(B$9&gt;=14/24,B$9&lt;20/24)</formula>
    </cfRule>
    <cfRule type="expression" dxfId="7475" priority="179">
      <formula>AND(B$9&gt;=8/24,B$9&lt;14/24)</formula>
    </cfRule>
    <cfRule type="expression" dxfId="7474" priority="180">
      <formula>B$9&lt;8/24</formula>
    </cfRule>
  </conditionalFormatting>
  <conditionalFormatting sqref="B12:L15 B17:L32 M19:Y32 B34:Y43 B45:Y45">
    <cfRule type="expression" dxfId="7473" priority="176">
      <formula>B12&gt;$AG12</formula>
    </cfRule>
  </conditionalFormatting>
  <conditionalFormatting sqref="B99">
    <cfRule type="expression" dxfId="7472" priority="172">
      <formula>B$9&gt;=20/24</formula>
    </cfRule>
    <cfRule type="expression" dxfId="7471" priority="173">
      <formula>AND(B$9&gt;=14/24,B$9&lt;20/24)</formula>
    </cfRule>
    <cfRule type="expression" dxfId="7470" priority="174">
      <formula>AND(B$9&gt;=8/24,B$9&lt;14/24)</formula>
    </cfRule>
    <cfRule type="expression" dxfId="7469" priority="175">
      <formula>B$9&lt;8/24</formula>
    </cfRule>
  </conditionalFormatting>
  <conditionalFormatting sqref="B53:L53">
    <cfRule type="expression" dxfId="7468" priority="164">
      <formula>B$9&gt;=20/24</formula>
    </cfRule>
    <cfRule type="expression" dxfId="7467" priority="165">
      <formula>AND(B$9&gt;=14/24,B$9&lt;20/24)</formula>
    </cfRule>
    <cfRule type="expression" dxfId="7466" priority="166">
      <formula>AND(B$9&gt;=8/24,B$9&lt;14/24)</formula>
    </cfRule>
    <cfRule type="expression" dxfId="7465" priority="167">
      <formula>B$9&lt;8/24</formula>
    </cfRule>
  </conditionalFormatting>
  <conditionalFormatting sqref="B53:G57 H53:L53 H55:L57">
    <cfRule type="expression" dxfId="7464" priority="163">
      <formula>B53&gt;$AG53</formula>
    </cfRule>
  </conditionalFormatting>
  <conditionalFormatting sqref="B96 B86 B47 B100:C106 B67:H69 B72:I74 J74">
    <cfRule type="expression" dxfId="7463" priority="159">
      <formula>B$9&gt;=20/24</formula>
    </cfRule>
    <cfRule type="expression" dxfId="7462" priority="160">
      <formula>AND(B$9&gt;=14/24,B$9&lt;20/24)</formula>
    </cfRule>
    <cfRule type="expression" dxfId="7461" priority="161">
      <formula>AND(B$9&gt;=8/24,B$9&lt;14/24)</formula>
    </cfRule>
    <cfRule type="expression" dxfId="7460" priority="162">
      <formula>B$9&lt;8/24</formula>
    </cfRule>
  </conditionalFormatting>
  <conditionalFormatting sqref="B47 B67:H69">
    <cfRule type="expression" dxfId="7459" priority="158">
      <formula>B47&gt;$AG47</formula>
    </cfRule>
  </conditionalFormatting>
  <conditionalFormatting sqref="B97 B88:C88">
    <cfRule type="expression" dxfId="7458" priority="154">
      <formula>B$9&gt;=20/24</formula>
    </cfRule>
    <cfRule type="expression" dxfId="7457" priority="155">
      <formula>AND(B$9&gt;=14/24,B$9&lt;20/24)</formula>
    </cfRule>
    <cfRule type="expression" dxfId="7456" priority="156">
      <formula>AND(B$9&gt;=8/24,B$9&lt;14/24)</formula>
    </cfRule>
    <cfRule type="expression" dxfId="7455" priority="157">
      <formula>B$9&lt;8/24</formula>
    </cfRule>
  </conditionalFormatting>
  <conditionalFormatting sqref="B46:AF46">
    <cfRule type="expression" dxfId="7454" priority="150">
      <formula>B$9&gt;=20/24</formula>
    </cfRule>
    <cfRule type="expression" dxfId="7453" priority="151">
      <formula>AND(B$9&gt;=14/24,B$9&lt;20/24)</formula>
    </cfRule>
    <cfRule type="expression" dxfId="7452" priority="152">
      <formula>AND(B$9&gt;=8/24,B$9&lt;14/24)</formula>
    </cfRule>
    <cfRule type="expression" dxfId="7451" priority="153">
      <formula>B$9&lt;8/24</formula>
    </cfRule>
  </conditionalFormatting>
  <conditionalFormatting sqref="B46:AF46">
    <cfRule type="expression" dxfId="7450" priority="149">
      <formula>B46&gt;$AG46</formula>
    </cfRule>
  </conditionalFormatting>
  <conditionalFormatting sqref="B58:L58">
    <cfRule type="expression" dxfId="7449" priority="145">
      <formula>B$9&gt;=20/24</formula>
    </cfRule>
    <cfRule type="expression" dxfId="7448" priority="146">
      <formula>AND(B$9&gt;=14/24,B$9&lt;20/24)</formula>
    </cfRule>
    <cfRule type="expression" dxfId="7447" priority="147">
      <formula>AND(B$9&gt;=8/24,B$9&lt;14/24)</formula>
    </cfRule>
    <cfRule type="expression" dxfId="7446" priority="148">
      <formula>B$9&lt;8/24</formula>
    </cfRule>
  </conditionalFormatting>
  <conditionalFormatting sqref="B58:L58">
    <cfRule type="expression" dxfId="7445" priority="144">
      <formula>B58&gt;$AG58</formula>
    </cfRule>
  </conditionalFormatting>
  <conditionalFormatting sqref="B91:B95">
    <cfRule type="expression" dxfId="7444" priority="140">
      <formula>B$9&gt;=20/24</formula>
    </cfRule>
    <cfRule type="expression" dxfId="7443" priority="141">
      <formula>AND(B$9&gt;=14/24,B$9&lt;20/24)</formula>
    </cfRule>
    <cfRule type="expression" dxfId="7442" priority="142">
      <formula>AND(B$9&gt;=8/24,B$9&lt;14/24)</formula>
    </cfRule>
    <cfRule type="expression" dxfId="7441" priority="143">
      <formula>B$9&lt;8/24</formula>
    </cfRule>
  </conditionalFormatting>
  <conditionalFormatting sqref="B49:L51">
    <cfRule type="expression" dxfId="7440" priority="135">
      <formula>B49&gt;$AG49</formula>
    </cfRule>
  </conditionalFormatting>
  <conditionalFormatting sqref="B107">
    <cfRule type="expression" dxfId="7439" priority="131">
      <formula>B$9&gt;=20/24</formula>
    </cfRule>
    <cfRule type="expression" dxfId="7438" priority="132">
      <formula>AND(B$9&gt;=14/24,B$9&lt;20/24)</formula>
    </cfRule>
    <cfRule type="expression" dxfId="7437" priority="133">
      <formula>AND(B$9&gt;=8/24,B$9&lt;14/24)</formula>
    </cfRule>
    <cfRule type="expression" dxfId="7436" priority="134">
      <formula>B$9&lt;8/24</formula>
    </cfRule>
  </conditionalFormatting>
  <conditionalFormatting sqref="B110">
    <cfRule type="expression" dxfId="7435" priority="127">
      <formula>B$9&gt;=20/24</formula>
    </cfRule>
    <cfRule type="expression" dxfId="7434" priority="128">
      <formula>AND(B$9&gt;=14/24,B$9&lt;20/24)</formula>
    </cfRule>
    <cfRule type="expression" dxfId="7433" priority="129">
      <formula>AND(B$9&gt;=8/24,B$9&lt;14/24)</formula>
    </cfRule>
    <cfRule type="expression" dxfId="7432" priority="130">
      <formula>B$9&lt;8/24</formula>
    </cfRule>
  </conditionalFormatting>
  <conditionalFormatting sqref="B83:B85 B75:J76">
    <cfRule type="expression" dxfId="7431" priority="123">
      <formula>B$9&gt;=20/24</formula>
    </cfRule>
    <cfRule type="expression" dxfId="7430" priority="124">
      <formula>AND(B$9&gt;=14/24,B$9&lt;20/24)</formula>
    </cfRule>
    <cfRule type="expression" dxfId="7429" priority="125">
      <formula>AND(B$9&gt;=8/24,B$9&lt;14/24)</formula>
    </cfRule>
    <cfRule type="expression" dxfId="7428" priority="126">
      <formula>B$9&lt;8/24</formula>
    </cfRule>
  </conditionalFormatting>
  <conditionalFormatting sqref="B89 B98 B70 B87">
    <cfRule type="expression" dxfId="7427" priority="119">
      <formula>B$9&gt;=20/24</formula>
    </cfRule>
    <cfRule type="expression" dxfId="7426" priority="120">
      <formula>AND(B$9&gt;=14/24,B$9&lt;20/24)</formula>
    </cfRule>
    <cfRule type="expression" dxfId="7425" priority="121">
      <formula>AND(B$9&gt;=8/24,B$9&lt;14/24)</formula>
    </cfRule>
    <cfRule type="expression" dxfId="7424" priority="122">
      <formula>B$9&lt;8/24</formula>
    </cfRule>
  </conditionalFormatting>
  <conditionalFormatting sqref="B48 B65:B66 B70">
    <cfRule type="expression" dxfId="7423" priority="118">
      <formula>B48&gt;$AG48</formula>
    </cfRule>
  </conditionalFormatting>
  <conditionalFormatting sqref="B82">
    <cfRule type="expression" dxfId="7422" priority="114">
      <formula>B$9&gt;=20/24</formula>
    </cfRule>
    <cfRule type="expression" dxfId="7421" priority="115">
      <formula>AND(B$9&gt;=14/24,B$9&lt;20/24)</formula>
    </cfRule>
    <cfRule type="expression" dxfId="7420" priority="116">
      <formula>AND(B$9&gt;=8/24,B$9&lt;14/24)</formula>
    </cfRule>
    <cfRule type="expression" dxfId="7419" priority="117">
      <formula>B$9&lt;8/24</formula>
    </cfRule>
  </conditionalFormatting>
  <conditionalFormatting sqref="B52">
    <cfRule type="expression" dxfId="7418" priority="110">
      <formula>B$9&gt;=20/24</formula>
    </cfRule>
    <cfRule type="expression" dxfId="7417" priority="111">
      <formula>AND(B$9&gt;=14/24,B$9&lt;20/24)</formula>
    </cfRule>
    <cfRule type="expression" dxfId="7416" priority="112">
      <formula>AND(B$9&gt;=8/24,B$9&lt;14/24)</formula>
    </cfRule>
    <cfRule type="expression" dxfId="7415" priority="113">
      <formula>B$9&lt;8/24</formula>
    </cfRule>
  </conditionalFormatting>
  <conditionalFormatting sqref="B52">
    <cfRule type="expression" dxfId="7414" priority="109">
      <formula>B52&gt;$AG52</formula>
    </cfRule>
  </conditionalFormatting>
  <conditionalFormatting sqref="B59:K64 L60:R64 L59">
    <cfRule type="expression" dxfId="7413" priority="101">
      <formula>B$9&gt;=20/24</formula>
    </cfRule>
    <cfRule type="expression" dxfId="7412" priority="102">
      <formula>AND(B$9&gt;=14/24,B$9&lt;20/24)</formula>
    </cfRule>
    <cfRule type="expression" dxfId="7411" priority="103">
      <formula>AND(B$9&gt;=8/24,B$9&lt;14/24)</formula>
    </cfRule>
    <cfRule type="expression" dxfId="7410" priority="104">
      <formula>B$9&lt;8/24</formula>
    </cfRule>
  </conditionalFormatting>
  <conditionalFormatting sqref="B59:K64 L60:R64 L59">
    <cfRule type="expression" dxfId="7409" priority="100">
      <formula>B59&gt;$AG59</formula>
    </cfRule>
  </conditionalFormatting>
  <conditionalFormatting sqref="B77:R81">
    <cfRule type="expression" dxfId="7408" priority="96">
      <formula>B$9&gt;=20/24</formula>
    </cfRule>
    <cfRule type="expression" dxfId="7407" priority="97">
      <formula>AND(B$9&gt;=14/24,B$9&lt;20/24)</formula>
    </cfRule>
    <cfRule type="expression" dxfId="7406" priority="98">
      <formula>AND(B$9&gt;=8/24,B$9&lt;14/24)</formula>
    </cfRule>
    <cfRule type="expression" dxfId="7405" priority="99">
      <formula>B$9&lt;8/24</formula>
    </cfRule>
  </conditionalFormatting>
  <conditionalFormatting sqref="A11">
    <cfRule type="expression" dxfId="7404" priority="95">
      <formula>$AH11=0</formula>
    </cfRule>
  </conditionalFormatting>
  <conditionalFormatting sqref="M11:AF11">
    <cfRule type="expression" dxfId="7403" priority="91">
      <formula>M$9&gt;=20/24</formula>
    </cfRule>
    <cfRule type="expression" dxfId="7402" priority="92">
      <formula>AND(M$9&gt;=14/24,M$9&lt;20/24)</formula>
    </cfRule>
    <cfRule type="expression" dxfId="7401" priority="93">
      <formula>AND(M$9&gt;=8/24,M$9&lt;14/24)</formula>
    </cfRule>
    <cfRule type="expression" dxfId="7400" priority="94">
      <formula>M$9&lt;8/24</formula>
    </cfRule>
  </conditionalFormatting>
  <conditionalFormatting sqref="M11:AF11">
    <cfRule type="expression" dxfId="7399" priority="90">
      <formula>M11&gt;$AG11</formula>
    </cfRule>
  </conditionalFormatting>
  <conditionalFormatting sqref="B11:L11">
    <cfRule type="expression" dxfId="7398" priority="86">
      <formula>B$9&gt;=20/24</formula>
    </cfRule>
    <cfRule type="expression" dxfId="7397" priority="87">
      <formula>AND(B$9&gt;=14/24,B$9&lt;20/24)</formula>
    </cfRule>
    <cfRule type="expression" dxfId="7396" priority="88">
      <formula>AND(B$9&gt;=8/24,B$9&lt;14/24)</formula>
    </cfRule>
    <cfRule type="expression" dxfId="7395" priority="89">
      <formula>B$9&lt;8/24</formula>
    </cfRule>
  </conditionalFormatting>
  <conditionalFormatting sqref="B11:L11">
    <cfRule type="expression" dxfId="7394" priority="85">
      <formula>B11&gt;$AG11</formula>
    </cfRule>
  </conditionalFormatting>
  <conditionalFormatting sqref="A16">
    <cfRule type="expression" dxfId="7393" priority="83">
      <formula>$AH16=0</formula>
    </cfRule>
  </conditionalFormatting>
  <conditionalFormatting sqref="AL16">
    <cfRule type="iconSet" priority="84">
      <iconSet iconSet="3TrafficLights2" reverse="1">
        <cfvo type="percent" val="0"/>
        <cfvo type="num" val="1"/>
        <cfvo type="num" val="1"/>
      </iconSet>
    </cfRule>
  </conditionalFormatting>
  <conditionalFormatting sqref="M16:AF16">
    <cfRule type="expression" dxfId="7392" priority="79">
      <formula>M$9&gt;=20/24</formula>
    </cfRule>
    <cfRule type="expression" dxfId="7391" priority="80">
      <formula>AND(M$9&gt;=14/24,M$9&lt;20/24)</formula>
    </cfRule>
    <cfRule type="expression" dxfId="7390" priority="81">
      <formula>AND(M$9&gt;=8/24,M$9&lt;14/24)</formula>
    </cfRule>
    <cfRule type="expression" dxfId="7389" priority="82">
      <formula>M$9&lt;8/24</formula>
    </cfRule>
  </conditionalFormatting>
  <conditionalFormatting sqref="M16:AF16">
    <cfRule type="expression" dxfId="7388" priority="78">
      <formula>M16&gt;$AG16</formula>
    </cfRule>
  </conditionalFormatting>
  <conditionalFormatting sqref="B16:L16">
    <cfRule type="expression" dxfId="7387" priority="74">
      <formula>B$9&gt;=20/24</formula>
    </cfRule>
    <cfRule type="expression" dxfId="7386" priority="75">
      <formula>AND(B$9&gt;=14/24,B$9&lt;20/24)</formula>
    </cfRule>
    <cfRule type="expression" dxfId="7385" priority="76">
      <formula>AND(B$9&gt;=8/24,B$9&lt;14/24)</formula>
    </cfRule>
    <cfRule type="expression" dxfId="7384" priority="77">
      <formula>B$9&lt;8/24</formula>
    </cfRule>
  </conditionalFormatting>
  <conditionalFormatting sqref="B16:L16">
    <cfRule type="expression" dxfId="7383" priority="73">
      <formula>B16&gt;$AG16</formula>
    </cfRule>
  </conditionalFormatting>
  <conditionalFormatting sqref="A33">
    <cfRule type="expression" dxfId="7382" priority="71">
      <formula>$AH33=0</formula>
    </cfRule>
  </conditionalFormatting>
  <conditionalFormatting sqref="AL33">
    <cfRule type="iconSet" priority="72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7381" priority="67">
      <formula>Z$9&gt;=20/24</formula>
    </cfRule>
    <cfRule type="expression" dxfId="7380" priority="68">
      <formula>AND(Z$9&gt;=14/24,Z$9&lt;20/24)</formula>
    </cfRule>
    <cfRule type="expression" dxfId="7379" priority="69">
      <formula>AND(Z$9&gt;=8/24,Z$9&lt;14/24)</formula>
    </cfRule>
    <cfRule type="expression" dxfId="7378" priority="70">
      <formula>Z$9&lt;8/24</formula>
    </cfRule>
  </conditionalFormatting>
  <conditionalFormatting sqref="Z33:AF33">
    <cfRule type="expression" dxfId="7377" priority="66">
      <formula>Z33&gt;$AG33</formula>
    </cfRule>
  </conditionalFormatting>
  <conditionalFormatting sqref="B33:Y33">
    <cfRule type="expression" dxfId="7376" priority="62">
      <formula>B$9&gt;=20/24</formula>
    </cfRule>
    <cfRule type="expression" dxfId="7375" priority="63">
      <formula>AND(B$9&gt;=14/24,B$9&lt;20/24)</formula>
    </cfRule>
    <cfRule type="expression" dxfId="7374" priority="64">
      <formula>AND(B$9&gt;=8/24,B$9&lt;14/24)</formula>
    </cfRule>
    <cfRule type="expression" dxfId="7373" priority="65">
      <formula>B$9&lt;8/24</formula>
    </cfRule>
  </conditionalFormatting>
  <conditionalFormatting sqref="B33:Y33">
    <cfRule type="expression" dxfId="7372" priority="61">
      <formula>B33&gt;$AG33</formula>
    </cfRule>
  </conditionalFormatting>
  <conditionalFormatting sqref="A44">
    <cfRule type="expression" dxfId="7371" priority="59">
      <formula>$AH44=0</formula>
    </cfRule>
  </conditionalFormatting>
  <conditionalFormatting sqref="AL44">
    <cfRule type="iconSet" priority="60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7370" priority="58">
      <formula>Z44&gt;$AG44</formula>
    </cfRule>
  </conditionalFormatting>
  <conditionalFormatting sqref="Z44:AF44">
    <cfRule type="expression" dxfId="7369" priority="54">
      <formula>Z$9&gt;=20/24</formula>
    </cfRule>
    <cfRule type="expression" dxfId="7368" priority="55">
      <formula>AND(Z$9&gt;=14/24,Z$9&lt;20/24)</formula>
    </cfRule>
    <cfRule type="expression" dxfId="7367" priority="56">
      <formula>AND(Z$9&gt;=8/24,Z$9&lt;14/24)</formula>
    </cfRule>
    <cfRule type="expression" dxfId="7366" priority="57">
      <formula>Z$9&lt;8/24</formula>
    </cfRule>
  </conditionalFormatting>
  <conditionalFormatting sqref="B44:Y44">
    <cfRule type="expression" dxfId="7365" priority="50">
      <formula>B$9&gt;=20/24</formula>
    </cfRule>
    <cfRule type="expression" dxfId="7364" priority="51">
      <formula>AND(B$9&gt;=14/24,B$9&lt;20/24)</formula>
    </cfRule>
    <cfRule type="expression" dxfId="7363" priority="52">
      <formula>AND(B$9&gt;=8/24,B$9&lt;14/24)</formula>
    </cfRule>
    <cfRule type="expression" dxfId="7362" priority="53">
      <formula>B$9&lt;8/24</formula>
    </cfRule>
  </conditionalFormatting>
  <conditionalFormatting sqref="B44:Y44">
    <cfRule type="expression" dxfId="7361" priority="49">
      <formula>B44&gt;$AG44</formula>
    </cfRule>
  </conditionalFormatting>
  <conditionalFormatting sqref="B117">
    <cfRule type="expression" dxfId="7360" priority="37">
      <formula>B$9&gt;=20/24</formula>
    </cfRule>
    <cfRule type="expression" dxfId="7359" priority="38">
      <formula>AND(B$9&gt;=14/24,B$9&lt;20/24)</formula>
    </cfRule>
    <cfRule type="expression" dxfId="7358" priority="39">
      <formula>AND(B$9&gt;=8/24,B$9&lt;14/24)</formula>
    </cfRule>
    <cfRule type="expression" dxfId="7357" priority="40">
      <formula>B$9&lt;8/24</formula>
    </cfRule>
  </conditionalFormatting>
  <conditionalFormatting sqref="D117:AF117">
    <cfRule type="expression" dxfId="7356" priority="45">
      <formula>D$9&gt;=20/24</formula>
    </cfRule>
    <cfRule type="expression" dxfId="7355" priority="46">
      <formula>AND(D$9&gt;=14/24,D$9&lt;20/24)</formula>
    </cfRule>
    <cfRule type="expression" dxfId="7354" priority="47">
      <formula>AND(D$9&gt;=8/24,D$9&lt;14/24)</formula>
    </cfRule>
    <cfRule type="expression" dxfId="7353" priority="48">
      <formula>D$9&lt;8/24</formula>
    </cfRule>
  </conditionalFormatting>
  <conditionalFormatting sqref="C117">
    <cfRule type="expression" dxfId="7352" priority="41">
      <formula>C$9&gt;=20/24</formula>
    </cfRule>
    <cfRule type="expression" dxfId="7351" priority="42">
      <formula>AND(C$9&gt;=14/24,C$9&lt;20/24)</formula>
    </cfRule>
    <cfRule type="expression" dxfId="7350" priority="43">
      <formula>AND(C$9&gt;=8/24,C$9&lt;14/24)</formula>
    </cfRule>
    <cfRule type="expression" dxfId="7349" priority="44">
      <formula>C$9&lt;8/24</formula>
    </cfRule>
  </conditionalFormatting>
  <conditionalFormatting sqref="S57:Y58">
    <cfRule type="expression" dxfId="7348" priority="33">
      <formula>S$9&gt;=20/24</formula>
    </cfRule>
    <cfRule type="expression" dxfId="7347" priority="34">
      <formula>AND(S$9&gt;=14/24,S$9&lt;20/24)</formula>
    </cfRule>
    <cfRule type="expression" dxfId="7346" priority="35">
      <formula>AND(S$9&gt;=8/24,S$9&lt;14/24)</formula>
    </cfRule>
    <cfRule type="expression" dxfId="7345" priority="36">
      <formula>S$9&lt;8/24</formula>
    </cfRule>
  </conditionalFormatting>
  <conditionalFormatting sqref="S57:Y58">
    <cfRule type="expression" dxfId="7344" priority="32">
      <formula>S57&gt;$AG57</formula>
    </cfRule>
  </conditionalFormatting>
  <conditionalFormatting sqref="S59:Y59">
    <cfRule type="expression" dxfId="7343" priority="28">
      <formula>S$9&gt;=20/24</formula>
    </cfRule>
    <cfRule type="expression" dxfId="7342" priority="29">
      <formula>AND(S$9&gt;=14/24,S$9&lt;20/24)</formula>
    </cfRule>
    <cfRule type="expression" dxfId="7341" priority="30">
      <formula>AND(S$9&gt;=8/24,S$9&lt;14/24)</formula>
    </cfRule>
    <cfRule type="expression" dxfId="7340" priority="31">
      <formula>S$9&lt;8/24</formula>
    </cfRule>
  </conditionalFormatting>
  <conditionalFormatting sqref="S59:Y59">
    <cfRule type="expression" dxfId="7339" priority="27">
      <formula>S59&gt;$AG59</formula>
    </cfRule>
  </conditionalFormatting>
  <conditionalFormatting sqref="S60:Y64">
    <cfRule type="expression" dxfId="7338" priority="23">
      <formula>S$9&gt;=20/24</formula>
    </cfRule>
    <cfRule type="expression" dxfId="7337" priority="24">
      <formula>AND(S$9&gt;=14/24,S$9&lt;20/24)</formula>
    </cfRule>
    <cfRule type="expression" dxfId="7336" priority="25">
      <formula>AND(S$9&gt;=8/24,S$9&lt;14/24)</formula>
    </cfRule>
    <cfRule type="expression" dxfId="7335" priority="26">
      <formula>S$9&lt;8/24</formula>
    </cfRule>
  </conditionalFormatting>
  <conditionalFormatting sqref="S60:Y64">
    <cfRule type="expression" dxfId="7334" priority="22">
      <formula>S60&gt;$AG60</formula>
    </cfRule>
  </conditionalFormatting>
  <conditionalFormatting sqref="S67:AB69">
    <cfRule type="expression" dxfId="7333" priority="18">
      <formula>S$9&gt;=20/24</formula>
    </cfRule>
    <cfRule type="expression" dxfId="7332" priority="19">
      <formula>AND(S$9&gt;=14/24,S$9&lt;20/24)</formula>
    </cfRule>
    <cfRule type="expression" dxfId="7331" priority="20">
      <formula>AND(S$9&gt;=8/24,S$9&lt;14/24)</formula>
    </cfRule>
    <cfRule type="expression" dxfId="7330" priority="21">
      <formula>S$9&lt;8/24</formula>
    </cfRule>
  </conditionalFormatting>
  <conditionalFormatting sqref="S67:AB69">
    <cfRule type="expression" dxfId="7329" priority="17">
      <formula>S67&gt;$AG67</formula>
    </cfRule>
  </conditionalFormatting>
  <conditionalFormatting sqref="S71">
    <cfRule type="expression" dxfId="7328" priority="13">
      <formula>S$9&gt;=20/24</formula>
    </cfRule>
    <cfRule type="expression" dxfId="7327" priority="14">
      <formula>AND(S$9&gt;=14/24,S$9&lt;20/24)</formula>
    </cfRule>
    <cfRule type="expression" dxfId="7326" priority="15">
      <formula>AND(S$9&gt;=8/24,S$9&lt;14/24)</formula>
    </cfRule>
    <cfRule type="expression" dxfId="7325" priority="16">
      <formula>S$9&lt;8/24</formula>
    </cfRule>
  </conditionalFormatting>
  <conditionalFormatting sqref="S72:S73">
    <cfRule type="expression" dxfId="7324" priority="9">
      <formula>S$9&gt;=20/24</formula>
    </cfRule>
    <cfRule type="expression" dxfId="7323" priority="10">
      <formula>AND(S$9&gt;=14/24,S$9&lt;20/24)</formula>
    </cfRule>
    <cfRule type="expression" dxfId="7322" priority="11">
      <formula>AND(S$9&gt;=8/24,S$9&lt;14/24)</formula>
    </cfRule>
    <cfRule type="expression" dxfId="7321" priority="12">
      <formula>S$9&lt;8/24</formula>
    </cfRule>
  </conditionalFormatting>
  <conditionalFormatting sqref="S74:S76 T76:Y76">
    <cfRule type="expression" dxfId="7320" priority="5">
      <formula>S$9&gt;=20/24</formula>
    </cfRule>
    <cfRule type="expression" dxfId="7319" priority="6">
      <formula>AND(S$9&gt;=14/24,S$9&lt;20/24)</formula>
    </cfRule>
    <cfRule type="expression" dxfId="7318" priority="7">
      <formula>AND(S$9&gt;=8/24,S$9&lt;14/24)</formula>
    </cfRule>
    <cfRule type="expression" dxfId="7317" priority="8">
      <formula>S$9&lt;8/24</formula>
    </cfRule>
  </conditionalFormatting>
  <conditionalFormatting sqref="S77:Y81">
    <cfRule type="expression" dxfId="7316" priority="1">
      <formula>S$9&gt;=20/24</formula>
    </cfRule>
    <cfRule type="expression" dxfId="7315" priority="2">
      <formula>AND(S$9&gt;=14/24,S$9&lt;20/24)</formula>
    </cfRule>
    <cfRule type="expression" dxfId="7314" priority="3">
      <formula>AND(S$9&gt;=8/24,S$9&lt;14/24)</formula>
    </cfRule>
    <cfRule type="expression" dxfId="7313" priority="4">
      <formula>S$9&lt;8/24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7" id="{AA8E9C64-8C72-485D-9E2B-64A896D8948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18" id="{FEB97032-89B0-4121-981D-1269909F1E0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19" id="{3DAAAC27-FF93-4525-9CF1-36FA1128489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0" id="{2FCAA9E4-09D4-4625-ACD7-C7FD0E8419C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105" id="{334498E4-BC92-4862-A2DB-EAC0C33F160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6" id="{0F1D6760-D478-4B1B-BF34-D7E09406F6A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7" id="{DE66EC38-68EC-458C-A6CC-DB92B824762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08" id="{69BCFBAB-BA5F-48E7-AB0D-F5FD7C7C6C7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workbookViewId="0">
      <pane ySplit="10" topLeftCell="A53" activePane="bottomLeft" state="frozen"/>
      <selection activeCell="Z85" sqref="Z85"/>
      <selection pane="bottomLeft" activeCell="P72" sqref="P72:Z72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2079/12/8</v>
      </c>
      <c r="C4" s="236"/>
      <c r="D4" s="236"/>
      <c r="E4" s="237" t="str">
        <f ca="1">"2079/"&amp;"12/"&amp;INT(MID(CELL("filename",G6),FIND("]",CELL("filename",G6))+1,200))</f>
        <v>2079/12/8</v>
      </c>
      <c r="F4" s="237"/>
      <c r="G4" s="237"/>
      <c r="H4" s="237" t="str">
        <f ca="1">TEXT(E4,"dddd")</f>
        <v>Friday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395.8</v>
      </c>
      <c r="C5" s="33">
        <f t="shared" si="0"/>
        <v>436.79999999999995</v>
      </c>
      <c r="D5" s="33">
        <f t="shared" si="0"/>
        <v>591.19999999999993</v>
      </c>
      <c r="E5" s="33">
        <f t="shared" si="0"/>
        <v>629.9</v>
      </c>
      <c r="F5" s="33">
        <f t="shared" si="0"/>
        <v>601.4</v>
      </c>
      <c r="G5" s="33">
        <f t="shared" si="0"/>
        <v>616.29999999999995</v>
      </c>
      <c r="H5" s="33">
        <f t="shared" si="0"/>
        <v>622.20000000000005</v>
      </c>
      <c r="I5" s="33">
        <f t="shared" si="0"/>
        <v>603.69999999999993</v>
      </c>
      <c r="J5" s="33">
        <f t="shared" si="0"/>
        <v>651</v>
      </c>
      <c r="K5" s="33">
        <f t="shared" si="0"/>
        <v>695.19999999999993</v>
      </c>
      <c r="L5" s="33">
        <f t="shared" si="0"/>
        <v>720.40000000000009</v>
      </c>
      <c r="M5" s="33">
        <f t="shared" si="0"/>
        <v>675.6</v>
      </c>
      <c r="N5" s="33">
        <f t="shared" si="0"/>
        <v>609.80000000000007</v>
      </c>
      <c r="O5" s="33">
        <f t="shared" si="0"/>
        <v>659.80000000000007</v>
      </c>
      <c r="P5" s="33">
        <f t="shared" si="0"/>
        <v>491.7</v>
      </c>
      <c r="Q5" s="33">
        <f t="shared" si="0"/>
        <v>678.7</v>
      </c>
      <c r="R5" s="33">
        <f t="shared" si="0"/>
        <v>684.09999999999991</v>
      </c>
      <c r="S5" s="33">
        <f t="shared" si="0"/>
        <v>674.09999999999991</v>
      </c>
      <c r="T5" s="33">
        <f t="shared" si="0"/>
        <v>599</v>
      </c>
      <c r="U5" s="33">
        <f t="shared" si="0"/>
        <v>544.79999999999995</v>
      </c>
      <c r="V5" s="33">
        <f t="shared" si="0"/>
        <v>534.4</v>
      </c>
      <c r="W5" s="33">
        <f t="shared" si="0"/>
        <v>500.40000000000003</v>
      </c>
      <c r="X5" s="33">
        <f t="shared" si="0"/>
        <v>538.4</v>
      </c>
      <c r="Y5" s="33">
        <f t="shared" si="0"/>
        <v>571.4</v>
      </c>
      <c r="Z5" s="33">
        <f t="shared" si="0"/>
        <v>347</v>
      </c>
      <c r="AA5" s="33">
        <f t="shared" si="0"/>
        <v>360</v>
      </c>
      <c r="AB5" s="33">
        <f t="shared" si="0"/>
        <v>336</v>
      </c>
      <c r="AC5" s="33">
        <f t="shared" si="0"/>
        <v>325</v>
      </c>
      <c r="AD5" s="33">
        <f t="shared" si="0"/>
        <v>297</v>
      </c>
      <c r="AE5" s="33">
        <f t="shared" si="0"/>
        <v>295</v>
      </c>
      <c r="AF5" s="33">
        <f>B82</f>
        <v>395.4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1525MW at 8:00hr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Load=1276</v>
      </c>
      <c r="B7" s="38">
        <f t="shared" ref="B7:AF7" si="1">B89</f>
        <v>1492.44</v>
      </c>
      <c r="C7" s="38">
        <f t="shared" si="1"/>
        <v>1443.44</v>
      </c>
      <c r="D7" s="38">
        <f t="shared" si="1"/>
        <v>1424.04</v>
      </c>
      <c r="E7" s="38">
        <f t="shared" si="1"/>
        <v>1312.54</v>
      </c>
      <c r="F7" s="38">
        <f t="shared" si="1"/>
        <v>1322.84</v>
      </c>
      <c r="G7" s="38">
        <f t="shared" si="1"/>
        <v>1293.74</v>
      </c>
      <c r="H7" s="38">
        <f t="shared" si="1"/>
        <v>1279.1399999999999</v>
      </c>
      <c r="I7" s="38">
        <f t="shared" si="1"/>
        <v>1276.04</v>
      </c>
      <c r="J7" s="38">
        <f t="shared" si="1"/>
        <v>1435.54</v>
      </c>
      <c r="K7" s="38">
        <f t="shared" si="1"/>
        <v>1455.54</v>
      </c>
      <c r="L7" s="38">
        <f t="shared" si="1"/>
        <v>1499.6399999999999</v>
      </c>
      <c r="M7" s="38">
        <f t="shared" si="1"/>
        <v>1525.44</v>
      </c>
      <c r="N7" s="38">
        <f>N89</f>
        <v>1480.6399999999999</v>
      </c>
      <c r="O7" s="38">
        <f t="shared" si="1"/>
        <v>1413.24</v>
      </c>
      <c r="P7" s="38">
        <f t="shared" si="1"/>
        <v>1505.54</v>
      </c>
      <c r="Q7" s="38">
        <f t="shared" si="1"/>
        <v>1431.44</v>
      </c>
      <c r="R7" s="38">
        <f t="shared" si="1"/>
        <v>1527.04</v>
      </c>
      <c r="S7" s="38">
        <f t="shared" si="1"/>
        <v>1503.7399999999998</v>
      </c>
      <c r="T7" s="38">
        <f t="shared" si="1"/>
        <v>1481.54</v>
      </c>
      <c r="U7" s="38">
        <f t="shared" si="1"/>
        <v>1369.1399999999999</v>
      </c>
      <c r="V7" s="38">
        <f t="shared" si="1"/>
        <v>1351.7399999999998</v>
      </c>
      <c r="W7" s="38">
        <f t="shared" si="1"/>
        <v>1374.6399999999999</v>
      </c>
      <c r="X7" s="38">
        <f t="shared" si="1"/>
        <v>1379.54</v>
      </c>
      <c r="Y7" s="38">
        <f t="shared" si="1"/>
        <v>1453.3400000000001</v>
      </c>
      <c r="Z7" s="38">
        <f t="shared" si="1"/>
        <v>1508.6399999999999</v>
      </c>
      <c r="AA7" s="38">
        <f t="shared" si="1"/>
        <v>1384.8400000000001</v>
      </c>
      <c r="AB7" s="38">
        <f t="shared" si="1"/>
        <v>1407.44</v>
      </c>
      <c r="AC7" s="38">
        <f t="shared" si="1"/>
        <v>1427.94</v>
      </c>
      <c r="AD7" s="38">
        <f t="shared" si="1"/>
        <v>1448.94</v>
      </c>
      <c r="AE7" s="38">
        <f t="shared" si="1"/>
        <v>1371.74</v>
      </c>
      <c r="AF7" s="38">
        <f t="shared" si="1"/>
        <v>1333.24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24</v>
      </c>
      <c r="C11" s="50">
        <v>24</v>
      </c>
      <c r="D11" s="50">
        <v>24</v>
      </c>
      <c r="E11" s="50">
        <v>24</v>
      </c>
      <c r="F11" s="50">
        <v>24</v>
      </c>
      <c r="G11" s="50">
        <v>24</v>
      </c>
      <c r="H11" s="50">
        <v>24</v>
      </c>
      <c r="I11" s="50">
        <v>24</v>
      </c>
      <c r="J11" s="50">
        <v>24</v>
      </c>
      <c r="K11" s="50">
        <v>24</v>
      </c>
      <c r="L11" s="50">
        <v>24</v>
      </c>
      <c r="M11" s="50">
        <v>24</v>
      </c>
      <c r="N11" s="50">
        <v>24</v>
      </c>
      <c r="O11" s="50">
        <v>24</v>
      </c>
      <c r="P11" s="50">
        <v>24</v>
      </c>
      <c r="Q11" s="50">
        <v>24</v>
      </c>
      <c r="R11" s="50">
        <v>24</v>
      </c>
      <c r="S11" s="50">
        <v>24</v>
      </c>
      <c r="T11" s="50">
        <v>24</v>
      </c>
      <c r="U11" s="50">
        <v>24</v>
      </c>
      <c r="V11" s="50">
        <v>24</v>
      </c>
      <c r="W11" s="50">
        <v>24</v>
      </c>
      <c r="X11" s="50">
        <v>24</v>
      </c>
      <c r="Y11" s="50">
        <v>24</v>
      </c>
      <c r="Z11" s="50">
        <v>24</v>
      </c>
      <c r="AA11" s="50">
        <v>24</v>
      </c>
      <c r="AB11" s="50">
        <v>24</v>
      </c>
      <c r="AC11" s="50">
        <v>24</v>
      </c>
      <c r="AD11" s="50">
        <v>24</v>
      </c>
      <c r="AE11" s="50">
        <v>24</v>
      </c>
      <c r="AF11" s="50">
        <v>24</v>
      </c>
      <c r="AG11" s="51">
        <v>86</v>
      </c>
      <c r="AH11" s="52">
        <f t="shared" ref="AH11:AH74" si="2">MAX(B11:AF11)</f>
        <v>24</v>
      </c>
      <c r="AI11" s="53">
        <f t="shared" ref="AI11:AI74" si="3">MIN(B11:AF11)</f>
        <v>24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12.6</v>
      </c>
      <c r="C12" s="50">
        <v>12.6</v>
      </c>
      <c r="D12" s="50">
        <v>13.1</v>
      </c>
      <c r="E12" s="50">
        <v>13.1</v>
      </c>
      <c r="F12" s="50">
        <v>13.1</v>
      </c>
      <c r="G12" s="50">
        <v>13.1</v>
      </c>
      <c r="H12" s="50">
        <v>13.1</v>
      </c>
      <c r="I12" s="50">
        <v>13.1</v>
      </c>
      <c r="J12" s="50">
        <v>13.1</v>
      </c>
      <c r="K12" s="50">
        <v>13.1</v>
      </c>
      <c r="L12" s="50">
        <v>13.1</v>
      </c>
      <c r="M12" s="50">
        <v>13.1</v>
      </c>
      <c r="N12" s="50">
        <v>13.1</v>
      </c>
      <c r="O12" s="50">
        <v>13.1</v>
      </c>
      <c r="P12" s="50">
        <v>13.1</v>
      </c>
      <c r="Q12" s="50">
        <v>13.1</v>
      </c>
      <c r="R12" s="50">
        <v>13.1</v>
      </c>
      <c r="S12" s="50">
        <v>13.1</v>
      </c>
      <c r="T12" s="50">
        <v>13.1</v>
      </c>
      <c r="U12" s="50">
        <v>13.1</v>
      </c>
      <c r="V12" s="50">
        <v>13.1</v>
      </c>
      <c r="W12" s="50">
        <v>13.1</v>
      </c>
      <c r="X12" s="50">
        <v>13.1</v>
      </c>
      <c r="Y12" s="50">
        <v>15</v>
      </c>
      <c r="Z12" s="50">
        <v>13.8</v>
      </c>
      <c r="AA12" s="50">
        <v>13.8</v>
      </c>
      <c r="AB12" s="50">
        <v>13.8</v>
      </c>
      <c r="AC12" s="50">
        <v>13.8</v>
      </c>
      <c r="AD12" s="50">
        <v>13.8</v>
      </c>
      <c r="AE12" s="50">
        <v>13.8</v>
      </c>
      <c r="AF12" s="50">
        <v>13.8</v>
      </c>
      <c r="AG12" s="51">
        <v>52.4</v>
      </c>
      <c r="AH12" s="52">
        <f t="shared" si="2"/>
        <v>15</v>
      </c>
      <c r="AI12" s="53">
        <f t="shared" si="3"/>
        <v>12.6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43.8</v>
      </c>
      <c r="C13" s="50">
        <v>44.1</v>
      </c>
      <c r="D13" s="50">
        <v>43.2</v>
      </c>
      <c r="E13" s="50">
        <v>43.2</v>
      </c>
      <c r="F13" s="50">
        <v>43.2</v>
      </c>
      <c r="G13" s="50">
        <v>43.2</v>
      </c>
      <c r="H13" s="50">
        <v>43.2</v>
      </c>
      <c r="I13" s="50">
        <v>43.2</v>
      </c>
      <c r="J13" s="50">
        <v>43.2</v>
      </c>
      <c r="K13" s="50">
        <v>43.2</v>
      </c>
      <c r="L13" s="50">
        <v>43.2</v>
      </c>
      <c r="M13" s="50">
        <v>43.2</v>
      </c>
      <c r="N13" s="50">
        <v>43.2</v>
      </c>
      <c r="O13" s="50">
        <v>43.2</v>
      </c>
      <c r="P13" s="50">
        <v>43.2</v>
      </c>
      <c r="Q13" s="50">
        <v>43.2</v>
      </c>
      <c r="R13" s="50">
        <v>43.2</v>
      </c>
      <c r="S13" s="50">
        <v>35.799999999999997</v>
      </c>
      <c r="T13" s="50">
        <v>35.799999999999997</v>
      </c>
      <c r="U13" s="50">
        <v>35.799999999999997</v>
      </c>
      <c r="V13" s="50">
        <v>35.799999999999997</v>
      </c>
      <c r="W13" s="50">
        <v>35.799999999999997</v>
      </c>
      <c r="X13" s="50">
        <v>35.799999999999997</v>
      </c>
      <c r="Y13" s="50">
        <v>47.3</v>
      </c>
      <c r="Z13" s="50">
        <v>47.3</v>
      </c>
      <c r="AA13" s="50">
        <v>47.3</v>
      </c>
      <c r="AB13" s="50">
        <v>47.3</v>
      </c>
      <c r="AC13" s="50">
        <v>47.3</v>
      </c>
      <c r="AD13" s="50">
        <v>47.3</v>
      </c>
      <c r="AE13" s="50">
        <v>47.3</v>
      </c>
      <c r="AF13" s="50">
        <v>47.3</v>
      </c>
      <c r="AG13" s="55">
        <v>50</v>
      </c>
      <c r="AH13" s="52">
        <f t="shared" si="2"/>
        <v>47.3</v>
      </c>
      <c r="AI13" s="53">
        <f t="shared" si="3"/>
        <v>35.799999999999997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18.100000000000001</v>
      </c>
      <c r="C14" s="50">
        <v>18.100000000000001</v>
      </c>
      <c r="D14" s="50">
        <v>18.100000000000001</v>
      </c>
      <c r="E14" s="50">
        <v>18.100000000000001</v>
      </c>
      <c r="F14" s="50">
        <v>18.100000000000001</v>
      </c>
      <c r="G14" s="50">
        <v>18.100000000000001</v>
      </c>
      <c r="H14" s="50">
        <v>18.100000000000001</v>
      </c>
      <c r="I14" s="50">
        <v>18.100000000000001</v>
      </c>
      <c r="J14" s="50">
        <v>18.100000000000001</v>
      </c>
      <c r="K14" s="50">
        <v>18.100000000000001</v>
      </c>
      <c r="L14" s="50">
        <v>18.100000000000001</v>
      </c>
      <c r="M14" s="50">
        <v>18.100000000000001</v>
      </c>
      <c r="N14" s="50">
        <v>18.100000000000001</v>
      </c>
      <c r="O14" s="50">
        <v>18.100000000000001</v>
      </c>
      <c r="P14" s="50">
        <v>18.100000000000001</v>
      </c>
      <c r="Q14" s="50">
        <v>18.100000000000001</v>
      </c>
      <c r="R14" s="50">
        <v>18.100000000000001</v>
      </c>
      <c r="S14" s="50">
        <v>16.399999999999999</v>
      </c>
      <c r="T14" s="50">
        <v>16.399999999999999</v>
      </c>
      <c r="U14" s="50">
        <v>16.399999999999999</v>
      </c>
      <c r="V14" s="50">
        <v>16.399999999999999</v>
      </c>
      <c r="W14" s="50">
        <v>16.399999999999999</v>
      </c>
      <c r="X14" s="50">
        <v>16.399999999999999</v>
      </c>
      <c r="Y14" s="50">
        <v>16.399999999999999</v>
      </c>
      <c r="Z14" s="50">
        <v>17.100000000000001</v>
      </c>
      <c r="AA14" s="50">
        <v>17.100000000000001</v>
      </c>
      <c r="AB14" s="50">
        <v>17.100000000000001</v>
      </c>
      <c r="AC14" s="50">
        <v>17.100000000000001</v>
      </c>
      <c r="AD14" s="50">
        <v>17.100000000000001</v>
      </c>
      <c r="AE14" s="50">
        <v>17.100000000000001</v>
      </c>
      <c r="AF14" s="50">
        <v>17.100000000000001</v>
      </c>
      <c r="AG14" s="55">
        <v>45</v>
      </c>
      <c r="AH14" s="52">
        <f t="shared" si="2"/>
        <v>18.100000000000001</v>
      </c>
      <c r="AI14" s="53">
        <f t="shared" si="3"/>
        <v>16.399999999999999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12</v>
      </c>
      <c r="C15" s="50">
        <v>12</v>
      </c>
      <c r="D15" s="50">
        <v>12</v>
      </c>
      <c r="E15" s="50">
        <v>12</v>
      </c>
      <c r="F15" s="50">
        <v>12</v>
      </c>
      <c r="G15" s="50">
        <v>12</v>
      </c>
      <c r="H15" s="50">
        <v>12</v>
      </c>
      <c r="I15" s="50">
        <v>12</v>
      </c>
      <c r="J15" s="50">
        <v>12</v>
      </c>
      <c r="K15" s="50">
        <v>12</v>
      </c>
      <c r="L15" s="50">
        <v>12</v>
      </c>
      <c r="M15" s="50">
        <v>12</v>
      </c>
      <c r="N15" s="50">
        <v>12</v>
      </c>
      <c r="O15" s="50">
        <v>12</v>
      </c>
      <c r="P15" s="50">
        <v>12</v>
      </c>
      <c r="Q15" s="50">
        <v>12</v>
      </c>
      <c r="R15" s="50">
        <v>12</v>
      </c>
      <c r="S15" s="50">
        <v>12.9</v>
      </c>
      <c r="T15" s="50">
        <v>12.9</v>
      </c>
      <c r="U15" s="50">
        <v>12.9</v>
      </c>
      <c r="V15" s="50">
        <v>12.9</v>
      </c>
      <c r="W15" s="50">
        <v>12.9</v>
      </c>
      <c r="X15" s="50">
        <v>12.9</v>
      </c>
      <c r="Y15" s="50">
        <v>12.9</v>
      </c>
      <c r="Z15" s="50">
        <v>12.9</v>
      </c>
      <c r="AA15" s="50">
        <v>12.9</v>
      </c>
      <c r="AB15" s="50">
        <v>12.9</v>
      </c>
      <c r="AC15" s="50">
        <v>12.9</v>
      </c>
      <c r="AD15" s="50">
        <v>12.9</v>
      </c>
      <c r="AE15" s="50">
        <v>12.9</v>
      </c>
      <c r="AF15" s="50">
        <v>12.9</v>
      </c>
      <c r="AG15" s="55">
        <v>42</v>
      </c>
      <c r="AH15" s="52">
        <f t="shared" si="2"/>
        <v>12.9</v>
      </c>
      <c r="AI15" s="53">
        <f t="shared" si="3"/>
        <v>12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14</v>
      </c>
      <c r="C16" s="50">
        <v>14</v>
      </c>
      <c r="D16" s="50">
        <v>14</v>
      </c>
      <c r="E16" s="50">
        <v>14</v>
      </c>
      <c r="F16" s="50">
        <v>14</v>
      </c>
      <c r="G16" s="50">
        <v>14</v>
      </c>
      <c r="H16" s="50">
        <v>14</v>
      </c>
      <c r="I16" s="50">
        <v>14</v>
      </c>
      <c r="J16" s="50">
        <v>14</v>
      </c>
      <c r="K16" s="50">
        <v>14</v>
      </c>
      <c r="L16" s="50">
        <v>14</v>
      </c>
      <c r="M16" s="50">
        <v>14</v>
      </c>
      <c r="N16" s="50">
        <v>14</v>
      </c>
      <c r="O16" s="50">
        <v>14</v>
      </c>
      <c r="P16" s="50">
        <v>14</v>
      </c>
      <c r="Q16" s="50">
        <v>14</v>
      </c>
      <c r="R16" s="50">
        <v>14</v>
      </c>
      <c r="S16" s="50">
        <v>14</v>
      </c>
      <c r="T16" s="50">
        <v>14</v>
      </c>
      <c r="U16" s="50">
        <v>14</v>
      </c>
      <c r="V16" s="50">
        <v>14</v>
      </c>
      <c r="W16" s="50">
        <v>14</v>
      </c>
      <c r="X16" s="50">
        <v>14</v>
      </c>
      <c r="Y16" s="50">
        <v>14</v>
      </c>
      <c r="Z16" s="50">
        <v>14</v>
      </c>
      <c r="AA16" s="50">
        <v>14</v>
      </c>
      <c r="AB16" s="50">
        <v>14</v>
      </c>
      <c r="AC16" s="50">
        <v>14</v>
      </c>
      <c r="AD16" s="50">
        <v>14</v>
      </c>
      <c r="AE16" s="50">
        <v>14</v>
      </c>
      <c r="AF16" s="50">
        <v>14</v>
      </c>
      <c r="AG16" s="55">
        <v>36</v>
      </c>
      <c r="AH16" s="52">
        <f t="shared" si="2"/>
        <v>14</v>
      </c>
      <c r="AI16" s="53">
        <f t="shared" si="3"/>
        <v>14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9.9</v>
      </c>
      <c r="C18" s="50">
        <v>10.199999999999999</v>
      </c>
      <c r="D18" s="50">
        <v>9.5</v>
      </c>
      <c r="E18" s="50">
        <v>9.5</v>
      </c>
      <c r="F18" s="50">
        <v>9.5</v>
      </c>
      <c r="G18" s="50">
        <v>9.5</v>
      </c>
      <c r="H18" s="50">
        <v>9.5</v>
      </c>
      <c r="I18" s="50">
        <v>9.5</v>
      </c>
      <c r="J18" s="50">
        <v>9.5</v>
      </c>
      <c r="K18" s="50">
        <v>9.5</v>
      </c>
      <c r="L18" s="50">
        <v>9.5</v>
      </c>
      <c r="M18" s="50">
        <v>9.5</v>
      </c>
      <c r="N18" s="50">
        <v>9.5</v>
      </c>
      <c r="O18" s="50">
        <v>9.5</v>
      </c>
      <c r="P18" s="50">
        <v>9.5</v>
      </c>
      <c r="Q18" s="50">
        <v>9.5</v>
      </c>
      <c r="R18" s="50">
        <v>9.5</v>
      </c>
      <c r="S18" s="50">
        <v>9.5</v>
      </c>
      <c r="T18" s="50">
        <v>9.5</v>
      </c>
      <c r="U18" s="50">
        <v>9.5</v>
      </c>
      <c r="V18" s="50">
        <v>9.5</v>
      </c>
      <c r="W18" s="50">
        <v>9.5</v>
      </c>
      <c r="X18" s="50">
        <v>9.5</v>
      </c>
      <c r="Y18" s="50">
        <v>9.5</v>
      </c>
      <c r="Z18" s="50">
        <v>11.5</v>
      </c>
      <c r="AA18" s="50">
        <v>11.5</v>
      </c>
      <c r="AB18" s="50">
        <v>11.5</v>
      </c>
      <c r="AC18" s="50">
        <v>11.5</v>
      </c>
      <c r="AD18" s="50">
        <v>11.5</v>
      </c>
      <c r="AE18" s="50">
        <v>11.5</v>
      </c>
      <c r="AF18" s="50">
        <v>9</v>
      </c>
      <c r="AG18" s="56">
        <v>30</v>
      </c>
      <c r="AH18" s="52">
        <f t="shared" si="2"/>
        <v>11.5</v>
      </c>
      <c r="AI18" s="53">
        <f t="shared" si="3"/>
        <v>9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6.6</v>
      </c>
      <c r="C19" s="50">
        <v>6.6</v>
      </c>
      <c r="D19" s="50">
        <v>6.6</v>
      </c>
      <c r="E19" s="50">
        <v>6.6</v>
      </c>
      <c r="F19" s="50">
        <v>6.6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6.6</v>
      </c>
      <c r="N19" s="50">
        <v>6.6</v>
      </c>
      <c r="O19" s="50">
        <v>6.6</v>
      </c>
      <c r="P19" s="50">
        <v>6.6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7.8</v>
      </c>
      <c r="AA19" s="50">
        <v>7.8</v>
      </c>
      <c r="AB19" s="50">
        <v>7.8</v>
      </c>
      <c r="AC19" s="50">
        <v>7.8</v>
      </c>
      <c r="AD19" s="50">
        <v>7.8</v>
      </c>
      <c r="AE19" s="50">
        <v>7.8</v>
      </c>
      <c r="AF19" s="50">
        <v>7.8</v>
      </c>
      <c r="AG19" s="55">
        <v>24.2</v>
      </c>
      <c r="AH19" s="52">
        <f t="shared" si="2"/>
        <v>7.8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0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5">
        <v>28</v>
      </c>
      <c r="AH20" s="52">
        <f t="shared" si="2"/>
        <v>0</v>
      </c>
      <c r="AI20" s="53">
        <f t="shared" si="3"/>
        <v>0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6.5</v>
      </c>
      <c r="C21" s="50">
        <v>6.5</v>
      </c>
      <c r="D21" s="50">
        <v>6.5</v>
      </c>
      <c r="E21" s="50">
        <v>6.5</v>
      </c>
      <c r="F21" s="50">
        <v>6.5</v>
      </c>
      <c r="G21" s="50">
        <v>6.5</v>
      </c>
      <c r="H21" s="50">
        <v>6.5</v>
      </c>
      <c r="I21" s="50">
        <v>6.5</v>
      </c>
      <c r="J21" s="50">
        <v>6.5</v>
      </c>
      <c r="K21" s="50">
        <v>6.5</v>
      </c>
      <c r="L21" s="50">
        <v>6.5</v>
      </c>
      <c r="M21" s="50">
        <v>6.5</v>
      </c>
      <c r="N21" s="50">
        <v>6.5</v>
      </c>
      <c r="O21" s="50">
        <v>6.5</v>
      </c>
      <c r="P21" s="50">
        <v>6.5</v>
      </c>
      <c r="Q21" s="50">
        <v>6.5</v>
      </c>
      <c r="R21" s="50">
        <v>6.5</v>
      </c>
      <c r="S21" s="50">
        <v>6.5</v>
      </c>
      <c r="T21" s="50">
        <v>6.5</v>
      </c>
      <c r="U21" s="50">
        <v>6.5</v>
      </c>
      <c r="V21" s="50">
        <v>6.5</v>
      </c>
      <c r="W21" s="50">
        <v>6.5</v>
      </c>
      <c r="X21" s="50">
        <v>6.5</v>
      </c>
      <c r="Y21" s="50">
        <v>6.5</v>
      </c>
      <c r="Z21" s="50">
        <v>6.5</v>
      </c>
      <c r="AA21" s="50">
        <v>6.5</v>
      </c>
      <c r="AB21" s="50">
        <v>6.5</v>
      </c>
      <c r="AC21" s="50">
        <v>6.5</v>
      </c>
      <c r="AD21" s="50">
        <v>6.5</v>
      </c>
      <c r="AE21" s="50">
        <v>6.5</v>
      </c>
      <c r="AF21" s="50">
        <v>6.5</v>
      </c>
      <c r="AG21" s="56">
        <v>30</v>
      </c>
      <c r="AH21" s="52">
        <f t="shared" si="2"/>
        <v>6.5</v>
      </c>
      <c r="AI21" s="53">
        <f t="shared" si="3"/>
        <v>6.5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10.6</v>
      </c>
      <c r="C22" s="50">
        <v>10.6</v>
      </c>
      <c r="D22" s="50">
        <v>11</v>
      </c>
      <c r="E22" s="50">
        <v>11</v>
      </c>
      <c r="F22" s="50">
        <v>11</v>
      </c>
      <c r="G22" s="50">
        <v>11</v>
      </c>
      <c r="H22" s="50">
        <v>11</v>
      </c>
      <c r="I22" s="50">
        <v>11</v>
      </c>
      <c r="J22" s="50">
        <v>11</v>
      </c>
      <c r="K22" s="50">
        <v>11</v>
      </c>
      <c r="L22" s="50">
        <v>11</v>
      </c>
      <c r="M22" s="50">
        <v>11</v>
      </c>
      <c r="N22" s="50">
        <v>11</v>
      </c>
      <c r="O22" s="50">
        <v>11</v>
      </c>
      <c r="P22" s="50">
        <v>11</v>
      </c>
      <c r="Q22" s="50">
        <v>11</v>
      </c>
      <c r="R22" s="50">
        <v>11</v>
      </c>
      <c r="S22" s="50">
        <v>11</v>
      </c>
      <c r="T22" s="50">
        <v>11</v>
      </c>
      <c r="U22" s="50">
        <v>11</v>
      </c>
      <c r="V22" s="50">
        <v>11</v>
      </c>
      <c r="W22" s="50">
        <v>11</v>
      </c>
      <c r="X22" s="50">
        <v>11</v>
      </c>
      <c r="Y22" s="50">
        <v>11</v>
      </c>
      <c r="Z22" s="50">
        <v>11</v>
      </c>
      <c r="AA22" s="50">
        <v>11</v>
      </c>
      <c r="AB22" s="50">
        <v>11</v>
      </c>
      <c r="AC22" s="50">
        <v>11</v>
      </c>
      <c r="AD22" s="50">
        <v>11</v>
      </c>
      <c r="AE22" s="50">
        <v>11</v>
      </c>
      <c r="AF22" s="50">
        <v>11</v>
      </c>
      <c r="AG22" s="55">
        <v>25</v>
      </c>
      <c r="AH22" s="52">
        <f t="shared" si="2"/>
        <v>11</v>
      </c>
      <c r="AI22" s="53">
        <f t="shared" si="3"/>
        <v>10.6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5">
        <v>25</v>
      </c>
      <c r="AH23" s="52">
        <f t="shared" si="2"/>
        <v>9</v>
      </c>
      <c r="AI23" s="53">
        <f t="shared" si="3"/>
        <v>9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5.8</v>
      </c>
      <c r="C26" s="50">
        <v>5.8</v>
      </c>
      <c r="D26" s="50">
        <v>5.9</v>
      </c>
      <c r="E26" s="50">
        <v>5.9</v>
      </c>
      <c r="F26" s="50">
        <v>5.9</v>
      </c>
      <c r="G26" s="50">
        <v>5.9</v>
      </c>
      <c r="H26" s="50">
        <v>5.9</v>
      </c>
      <c r="I26" s="50">
        <v>5.9</v>
      </c>
      <c r="J26" s="50">
        <v>5.9</v>
      </c>
      <c r="K26" s="50">
        <v>5.9</v>
      </c>
      <c r="L26" s="50">
        <v>5.9</v>
      </c>
      <c r="M26" s="50">
        <v>5.9</v>
      </c>
      <c r="N26" s="50">
        <v>5.9</v>
      </c>
      <c r="O26" s="50">
        <v>5.9</v>
      </c>
      <c r="P26" s="50">
        <v>5.9</v>
      </c>
      <c r="Q26" s="50">
        <v>5.9</v>
      </c>
      <c r="R26" s="50">
        <v>5.9</v>
      </c>
      <c r="S26" s="50">
        <v>5.9</v>
      </c>
      <c r="T26" s="50">
        <v>5.9</v>
      </c>
      <c r="U26" s="50">
        <v>5.9</v>
      </c>
      <c r="V26" s="50">
        <v>5.9</v>
      </c>
      <c r="W26" s="50">
        <v>5.9</v>
      </c>
      <c r="X26" s="50">
        <v>5.9</v>
      </c>
      <c r="Y26" s="50">
        <v>5.9</v>
      </c>
      <c r="Z26" s="50">
        <v>5.9</v>
      </c>
      <c r="AA26" s="50">
        <v>5.9</v>
      </c>
      <c r="AB26" s="50">
        <v>5.9</v>
      </c>
      <c r="AC26" s="50">
        <v>5.9</v>
      </c>
      <c r="AD26" s="50">
        <v>5.9</v>
      </c>
      <c r="AE26" s="50">
        <v>5.9</v>
      </c>
      <c r="AF26" s="50">
        <v>5.9</v>
      </c>
      <c r="AG26" s="55">
        <v>23.5</v>
      </c>
      <c r="AH26" s="52">
        <f t="shared" si="2"/>
        <v>5.9</v>
      </c>
      <c r="AI26" s="53">
        <f t="shared" si="3"/>
        <v>5.8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5">
        <v>22</v>
      </c>
      <c r="AH29" s="52">
        <f t="shared" si="2"/>
        <v>4</v>
      </c>
      <c r="AI29" s="53">
        <f t="shared" si="3"/>
        <v>4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10</v>
      </c>
      <c r="C30" s="50">
        <v>10</v>
      </c>
      <c r="D30" s="50">
        <v>10</v>
      </c>
      <c r="E30" s="50">
        <v>10</v>
      </c>
      <c r="F30" s="50">
        <v>10</v>
      </c>
      <c r="G30" s="50">
        <v>10</v>
      </c>
      <c r="H30" s="50">
        <v>10</v>
      </c>
      <c r="I30" s="50">
        <v>10</v>
      </c>
      <c r="J30" s="50">
        <v>10</v>
      </c>
      <c r="K30" s="50">
        <v>10</v>
      </c>
      <c r="L30" s="50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>
        <v>10</v>
      </c>
      <c r="S30" s="50">
        <v>6.7</v>
      </c>
      <c r="T30" s="50">
        <v>6.7</v>
      </c>
      <c r="U30" s="50">
        <v>6.7</v>
      </c>
      <c r="V30" s="50">
        <v>6.7</v>
      </c>
      <c r="W30" s="50">
        <v>6.7</v>
      </c>
      <c r="X30" s="50">
        <v>6.7</v>
      </c>
      <c r="Y30" s="50">
        <v>6.7</v>
      </c>
      <c r="Z30" s="50">
        <v>6.7</v>
      </c>
      <c r="AA30" s="50">
        <v>6.7</v>
      </c>
      <c r="AB30" s="50">
        <v>6.7</v>
      </c>
      <c r="AC30" s="50">
        <v>6.7</v>
      </c>
      <c r="AD30" s="50">
        <v>6.7</v>
      </c>
      <c r="AE30" s="50">
        <v>6.7</v>
      </c>
      <c r="AF30" s="50">
        <v>6.7</v>
      </c>
      <c r="AG30" s="55">
        <v>22</v>
      </c>
      <c r="AH30" s="52">
        <f t="shared" si="2"/>
        <v>10</v>
      </c>
      <c r="AI30" s="53">
        <f t="shared" si="3"/>
        <v>6.7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55">
        <v>20</v>
      </c>
      <c r="AH31" s="52">
        <f t="shared" si="2"/>
        <v>6</v>
      </c>
      <c r="AI31" s="53">
        <f t="shared" si="3"/>
        <v>6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>
        <v>4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5.2</v>
      </c>
      <c r="C38" s="50">
        <v>5.2</v>
      </c>
      <c r="D38" s="50">
        <v>5.2</v>
      </c>
      <c r="E38" s="50">
        <v>5.2</v>
      </c>
      <c r="F38" s="50">
        <v>5.2</v>
      </c>
      <c r="G38" s="50">
        <v>5.2</v>
      </c>
      <c r="H38" s="50">
        <v>5.2</v>
      </c>
      <c r="I38" s="50">
        <v>5.2</v>
      </c>
      <c r="J38" s="50">
        <v>5.2</v>
      </c>
      <c r="K38" s="50">
        <v>5.2</v>
      </c>
      <c r="L38" s="50">
        <v>5.2</v>
      </c>
      <c r="M38" s="50">
        <v>5.2</v>
      </c>
      <c r="N38" s="50">
        <v>5.2</v>
      </c>
      <c r="O38" s="50">
        <v>5.2</v>
      </c>
      <c r="P38" s="50">
        <v>5.2</v>
      </c>
      <c r="Q38" s="50">
        <v>5.2</v>
      </c>
      <c r="R38" s="50">
        <v>5.2</v>
      </c>
      <c r="S38" s="50">
        <v>5.2</v>
      </c>
      <c r="T38" s="50">
        <v>5.2</v>
      </c>
      <c r="U38" s="50">
        <v>5.2</v>
      </c>
      <c r="V38" s="50">
        <v>5.2</v>
      </c>
      <c r="W38" s="50">
        <v>5.2</v>
      </c>
      <c r="X38" s="50">
        <v>5.2</v>
      </c>
      <c r="Y38" s="50">
        <v>5.2</v>
      </c>
      <c r="Z38" s="50">
        <v>5.2</v>
      </c>
      <c r="AA38" s="50">
        <v>5.2</v>
      </c>
      <c r="AB38" s="50">
        <v>5.2</v>
      </c>
      <c r="AC38" s="50">
        <v>5.2</v>
      </c>
      <c r="AD38" s="50">
        <v>5.2</v>
      </c>
      <c r="AE38" s="50">
        <v>5.2</v>
      </c>
      <c r="AF38" s="50">
        <v>5.2</v>
      </c>
      <c r="AG38" s="55">
        <v>12</v>
      </c>
      <c r="AH38" s="52">
        <f t="shared" si="2"/>
        <v>5.2</v>
      </c>
      <c r="AI38" s="53">
        <f t="shared" si="3"/>
        <v>5.2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50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3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120</v>
      </c>
      <c r="C46" s="63">
        <v>120</v>
      </c>
      <c r="D46" s="63">
        <v>120</v>
      </c>
      <c r="E46" s="63">
        <v>120</v>
      </c>
      <c r="F46" s="63">
        <v>120</v>
      </c>
      <c r="G46" s="63">
        <v>120</v>
      </c>
      <c r="H46" s="63">
        <v>120</v>
      </c>
      <c r="I46" s="63">
        <v>120</v>
      </c>
      <c r="J46" s="63">
        <v>120</v>
      </c>
      <c r="K46" s="63">
        <v>120</v>
      </c>
      <c r="L46" s="63">
        <v>120</v>
      </c>
      <c r="M46" s="63">
        <v>120</v>
      </c>
      <c r="N46" s="63">
        <v>120</v>
      </c>
      <c r="O46" s="63">
        <v>120</v>
      </c>
      <c r="P46" s="63">
        <v>120</v>
      </c>
      <c r="Q46" s="63">
        <v>120</v>
      </c>
      <c r="R46" s="63">
        <v>120</v>
      </c>
      <c r="S46" s="63">
        <v>120</v>
      </c>
      <c r="T46" s="63">
        <v>120</v>
      </c>
      <c r="U46" s="63">
        <v>120</v>
      </c>
      <c r="V46" s="63">
        <v>120</v>
      </c>
      <c r="W46" s="63">
        <v>120</v>
      </c>
      <c r="X46" s="63">
        <v>120</v>
      </c>
      <c r="Y46" s="63">
        <v>120</v>
      </c>
      <c r="Z46" s="63">
        <v>120</v>
      </c>
      <c r="AA46" s="63">
        <v>120</v>
      </c>
      <c r="AB46" s="63">
        <v>120</v>
      </c>
      <c r="AC46" s="63">
        <v>120</v>
      </c>
      <c r="AD46" s="63">
        <v>120</v>
      </c>
      <c r="AE46" s="63">
        <v>120</v>
      </c>
      <c r="AF46" s="63">
        <v>120</v>
      </c>
      <c r="AG46" s="61">
        <v>85</v>
      </c>
      <c r="AH46" s="52">
        <f t="shared" si="2"/>
        <v>120</v>
      </c>
      <c r="AI46" s="53">
        <f t="shared" si="3"/>
        <v>120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 t="shared" ref="B48" si="4">SUM(B12:B46)</f>
        <v>367.4</v>
      </c>
      <c r="C48" s="67">
        <f t="shared" ref="C48:AF48" si="5">SUM(C12:C46)</f>
        <v>368</v>
      </c>
      <c r="D48" s="67">
        <f t="shared" si="5"/>
        <v>367.4</v>
      </c>
      <c r="E48" s="67">
        <f t="shared" si="5"/>
        <v>367.4</v>
      </c>
      <c r="F48" s="67">
        <f t="shared" si="5"/>
        <v>367.4</v>
      </c>
      <c r="G48" s="67">
        <f t="shared" si="5"/>
        <v>367.4</v>
      </c>
      <c r="H48" s="67">
        <f t="shared" si="5"/>
        <v>367.4</v>
      </c>
      <c r="I48" s="67">
        <f t="shared" si="5"/>
        <v>367.4</v>
      </c>
      <c r="J48" s="67">
        <f t="shared" si="5"/>
        <v>367.4</v>
      </c>
      <c r="K48" s="67">
        <f t="shared" si="5"/>
        <v>367.4</v>
      </c>
      <c r="L48" s="67">
        <f t="shared" si="5"/>
        <v>367.4</v>
      </c>
      <c r="M48" s="67">
        <f t="shared" si="5"/>
        <v>367.4</v>
      </c>
      <c r="N48" s="67">
        <f t="shared" si="5"/>
        <v>367.4</v>
      </c>
      <c r="O48" s="67">
        <f t="shared" si="5"/>
        <v>367.4</v>
      </c>
      <c r="P48" s="67">
        <f t="shared" si="5"/>
        <v>367.4</v>
      </c>
      <c r="Q48" s="67">
        <f t="shared" si="5"/>
        <v>367.4</v>
      </c>
      <c r="R48" s="67">
        <f t="shared" si="5"/>
        <v>367.4</v>
      </c>
      <c r="S48" s="67">
        <f t="shared" si="5"/>
        <v>355.9</v>
      </c>
      <c r="T48" s="67">
        <f t="shared" si="5"/>
        <v>355.9</v>
      </c>
      <c r="U48" s="67">
        <f t="shared" si="5"/>
        <v>355.9</v>
      </c>
      <c r="V48" s="67">
        <f t="shared" si="5"/>
        <v>355.9</v>
      </c>
      <c r="W48" s="67">
        <f t="shared" si="5"/>
        <v>355.9</v>
      </c>
      <c r="X48" s="67">
        <f t="shared" si="5"/>
        <v>355.9</v>
      </c>
      <c r="Y48" s="67">
        <f t="shared" si="5"/>
        <v>369.29999999999995</v>
      </c>
      <c r="Z48" s="67">
        <v>372</v>
      </c>
      <c r="AA48" s="67">
        <f t="shared" si="5"/>
        <v>372</v>
      </c>
      <c r="AB48" s="67">
        <f t="shared" si="5"/>
        <v>372</v>
      </c>
      <c r="AC48" s="67">
        <f t="shared" si="5"/>
        <v>372</v>
      </c>
      <c r="AD48" s="67">
        <f t="shared" si="5"/>
        <v>372</v>
      </c>
      <c r="AE48" s="67">
        <f t="shared" si="5"/>
        <v>372</v>
      </c>
      <c r="AF48" s="67">
        <f t="shared" si="5"/>
        <v>369.5</v>
      </c>
      <c r="AG48" s="68">
        <f>SUM(AG12:AG46)</f>
        <v>875.68</v>
      </c>
      <c r="AH48" s="52">
        <f t="shared" si="2"/>
        <v>372</v>
      </c>
      <c r="AI48" s="53">
        <f t="shared" si="3"/>
        <v>355.9</v>
      </c>
      <c r="AK48" s="54"/>
    </row>
    <row r="49" spans="1:41" x14ac:dyDescent="0.25">
      <c r="A49" s="69" t="s">
        <v>57</v>
      </c>
      <c r="B49" s="50">
        <v>100</v>
      </c>
      <c r="C49" s="50">
        <v>80</v>
      </c>
      <c r="D49" s="50">
        <v>50</v>
      </c>
      <c r="E49" s="50">
        <v>40</v>
      </c>
      <c r="F49" s="50">
        <v>30</v>
      </c>
      <c r="G49" s="50">
        <v>30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15</v>
      </c>
      <c r="Q49" s="50">
        <v>15</v>
      </c>
      <c r="R49" s="50">
        <v>15</v>
      </c>
      <c r="S49" s="50">
        <v>15</v>
      </c>
      <c r="T49" s="50">
        <v>15</v>
      </c>
      <c r="U49" s="50">
        <v>15</v>
      </c>
      <c r="V49" s="50">
        <v>15</v>
      </c>
      <c r="W49" s="50">
        <v>15</v>
      </c>
      <c r="X49" s="50">
        <v>0</v>
      </c>
      <c r="Y49" s="50">
        <v>15</v>
      </c>
      <c r="Z49" s="50">
        <v>15</v>
      </c>
      <c r="AA49" s="50">
        <v>100</v>
      </c>
      <c r="AB49" s="50">
        <v>100</v>
      </c>
      <c r="AC49" s="50">
        <v>180</v>
      </c>
      <c r="AD49" s="50">
        <v>230</v>
      </c>
      <c r="AE49" s="50">
        <v>280</v>
      </c>
      <c r="AF49" s="50">
        <v>250</v>
      </c>
      <c r="AG49" s="56">
        <v>456</v>
      </c>
      <c r="AH49" s="52">
        <f t="shared" si="2"/>
        <v>280</v>
      </c>
      <c r="AI49" s="53">
        <f t="shared" si="3"/>
        <v>0</v>
      </c>
      <c r="AK49" s="54"/>
    </row>
    <row r="50" spans="1:41" x14ac:dyDescent="0.25">
      <c r="A50" s="71" t="s">
        <v>58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25</v>
      </c>
      <c r="O50" s="72">
        <v>25</v>
      </c>
      <c r="P50" s="72">
        <v>25</v>
      </c>
      <c r="Q50" s="72">
        <v>25</v>
      </c>
      <c r="R50" s="72">
        <v>25</v>
      </c>
      <c r="S50" s="72">
        <v>25</v>
      </c>
      <c r="T50" s="72">
        <v>25</v>
      </c>
      <c r="U50" s="72">
        <v>25</v>
      </c>
      <c r="V50" s="72">
        <v>25</v>
      </c>
      <c r="W50" s="72">
        <v>25</v>
      </c>
      <c r="X50" s="72">
        <v>25</v>
      </c>
      <c r="Y50" s="72">
        <v>25</v>
      </c>
      <c r="Z50" s="72">
        <v>25</v>
      </c>
      <c r="AA50" s="72">
        <v>25</v>
      </c>
      <c r="AB50" s="72">
        <v>25</v>
      </c>
      <c r="AC50" s="72">
        <v>25</v>
      </c>
      <c r="AD50" s="72">
        <v>25</v>
      </c>
      <c r="AE50" s="72">
        <v>25</v>
      </c>
      <c r="AF50" s="72">
        <v>25</v>
      </c>
      <c r="AG50" s="61">
        <v>60</v>
      </c>
      <c r="AH50" s="52">
        <f t="shared" si="2"/>
        <v>25</v>
      </c>
      <c r="AI50" s="53">
        <f t="shared" si="3"/>
        <v>25</v>
      </c>
      <c r="AK50" s="54"/>
    </row>
    <row r="51" spans="1:41" ht="15.75" thickBot="1" x14ac:dyDescent="0.3">
      <c r="A51" s="73" t="s">
        <v>59</v>
      </c>
      <c r="B51" s="74">
        <v>14.7</v>
      </c>
      <c r="C51" s="74">
        <v>14.7</v>
      </c>
      <c r="D51" s="74">
        <v>14.7</v>
      </c>
      <c r="E51" s="74">
        <v>13.6</v>
      </c>
      <c r="F51" s="74">
        <v>13.6</v>
      </c>
      <c r="G51" s="74">
        <v>13.6</v>
      </c>
      <c r="H51" s="74">
        <v>13.7</v>
      </c>
      <c r="I51" s="74">
        <v>13.7</v>
      </c>
      <c r="J51" s="74">
        <v>13.7</v>
      </c>
      <c r="K51" s="74">
        <v>13.8</v>
      </c>
      <c r="L51" s="74">
        <v>13.7</v>
      </c>
      <c r="M51" s="74">
        <v>13.7</v>
      </c>
      <c r="N51" s="74">
        <v>13.7</v>
      </c>
      <c r="O51" s="74">
        <v>13.7</v>
      </c>
      <c r="P51" s="74">
        <v>13.7</v>
      </c>
      <c r="Q51" s="74">
        <v>13.7</v>
      </c>
      <c r="R51" s="74">
        <v>13.7</v>
      </c>
      <c r="S51" s="74">
        <v>12.5</v>
      </c>
      <c r="T51" s="74">
        <v>12.5</v>
      </c>
      <c r="U51" s="74">
        <v>12.5</v>
      </c>
      <c r="V51" s="74">
        <v>12.5</v>
      </c>
      <c r="W51" s="74">
        <v>12.5</v>
      </c>
      <c r="X51" s="74">
        <v>12.5</v>
      </c>
      <c r="Y51" s="74">
        <v>12.5</v>
      </c>
      <c r="Z51" s="74">
        <v>12.5</v>
      </c>
      <c r="AA51" s="74">
        <v>12.5</v>
      </c>
      <c r="AB51" s="74">
        <v>12.5</v>
      </c>
      <c r="AC51" s="74">
        <v>12.5</v>
      </c>
      <c r="AD51" s="74">
        <v>12.5</v>
      </c>
      <c r="AE51" s="74">
        <v>12.5</v>
      </c>
      <c r="AF51" s="74">
        <v>12.5</v>
      </c>
      <c r="AG51" s="75">
        <v>22.1</v>
      </c>
      <c r="AH51" s="52">
        <f t="shared" si="2"/>
        <v>14.7</v>
      </c>
      <c r="AI51" s="53">
        <f t="shared" si="3"/>
        <v>12.5</v>
      </c>
      <c r="AK51" s="54"/>
    </row>
    <row r="52" spans="1:41" ht="15.75" thickBot="1" x14ac:dyDescent="0.3">
      <c r="A52" s="76" t="s">
        <v>60</v>
      </c>
      <c r="B52" s="67">
        <f t="shared" ref="B52" si="6">SUM(B49:B51)</f>
        <v>139.69999999999999</v>
      </c>
      <c r="C52" s="67">
        <f t="shared" ref="C52:AG52" si="7">SUM(C49:C51)</f>
        <v>119.7</v>
      </c>
      <c r="D52" s="67">
        <f t="shared" si="7"/>
        <v>89.7</v>
      </c>
      <c r="E52" s="67">
        <f t="shared" si="7"/>
        <v>78.599999999999994</v>
      </c>
      <c r="F52" s="67">
        <f t="shared" si="7"/>
        <v>68.599999999999994</v>
      </c>
      <c r="G52" s="67">
        <f t="shared" si="7"/>
        <v>68.599999999999994</v>
      </c>
      <c r="H52" s="67">
        <f t="shared" si="7"/>
        <v>38.700000000000003</v>
      </c>
      <c r="I52" s="67">
        <f t="shared" si="7"/>
        <v>38.700000000000003</v>
      </c>
      <c r="J52" s="67">
        <f t="shared" si="7"/>
        <v>38.700000000000003</v>
      </c>
      <c r="K52" s="67">
        <f t="shared" si="7"/>
        <v>38.799999999999997</v>
      </c>
      <c r="L52" s="67">
        <f t="shared" si="7"/>
        <v>38.700000000000003</v>
      </c>
      <c r="M52" s="67">
        <f t="shared" si="7"/>
        <v>38.700000000000003</v>
      </c>
      <c r="N52" s="67">
        <f t="shared" si="7"/>
        <v>38.700000000000003</v>
      </c>
      <c r="O52" s="67">
        <f t="shared" si="7"/>
        <v>38.700000000000003</v>
      </c>
      <c r="P52" s="67">
        <f t="shared" si="7"/>
        <v>53.7</v>
      </c>
      <c r="Q52" s="67">
        <f t="shared" si="7"/>
        <v>53.7</v>
      </c>
      <c r="R52" s="67">
        <f t="shared" si="7"/>
        <v>53.7</v>
      </c>
      <c r="S52" s="67">
        <f t="shared" si="7"/>
        <v>52.5</v>
      </c>
      <c r="T52" s="67">
        <f t="shared" si="7"/>
        <v>52.5</v>
      </c>
      <c r="U52" s="67">
        <f t="shared" si="7"/>
        <v>52.5</v>
      </c>
      <c r="V52" s="67">
        <f t="shared" si="7"/>
        <v>52.5</v>
      </c>
      <c r="W52" s="67">
        <f t="shared" si="7"/>
        <v>52.5</v>
      </c>
      <c r="X52" s="67">
        <f t="shared" si="7"/>
        <v>37.5</v>
      </c>
      <c r="Y52" s="67">
        <f t="shared" si="7"/>
        <v>52.5</v>
      </c>
      <c r="Z52" s="67">
        <v>52.5</v>
      </c>
      <c r="AA52" s="67">
        <f t="shared" si="7"/>
        <v>137.5</v>
      </c>
      <c r="AB52" s="67">
        <f t="shared" si="7"/>
        <v>137.5</v>
      </c>
      <c r="AC52" s="67">
        <f t="shared" si="7"/>
        <v>217.5</v>
      </c>
      <c r="AD52" s="67">
        <f t="shared" si="7"/>
        <v>267.5</v>
      </c>
      <c r="AE52" s="67">
        <f t="shared" si="7"/>
        <v>317.5</v>
      </c>
      <c r="AF52" s="67">
        <f t="shared" si="7"/>
        <v>287.5</v>
      </c>
      <c r="AG52" s="68">
        <f t="shared" si="7"/>
        <v>538.1</v>
      </c>
      <c r="AH52" s="52">
        <f t="shared" si="2"/>
        <v>317.5</v>
      </c>
      <c r="AI52" s="53">
        <f t="shared" si="3"/>
        <v>37.5</v>
      </c>
      <c r="AK52" s="54"/>
    </row>
    <row r="53" spans="1:41" x14ac:dyDescent="0.25">
      <c r="A53" s="49" t="s">
        <v>61</v>
      </c>
      <c r="B53" s="50">
        <v>49.1</v>
      </c>
      <c r="C53" s="50">
        <v>48.7</v>
      </c>
      <c r="D53" s="50">
        <v>49</v>
      </c>
      <c r="E53" s="50">
        <v>30.7</v>
      </c>
      <c r="F53" s="50">
        <v>26.6</v>
      </c>
      <c r="G53" s="50">
        <v>26.6</v>
      </c>
      <c r="H53" s="50">
        <v>26.6</v>
      </c>
      <c r="I53" s="50">
        <v>25.7</v>
      </c>
      <c r="J53" s="50">
        <v>30.5</v>
      </c>
      <c r="K53" s="50">
        <v>30.6</v>
      </c>
      <c r="L53" s="50">
        <v>30.6</v>
      </c>
      <c r="M53" s="50">
        <v>27.6</v>
      </c>
      <c r="N53" s="50">
        <v>27.6</v>
      </c>
      <c r="O53" s="50">
        <v>27.6</v>
      </c>
      <c r="P53" s="50">
        <v>98.7</v>
      </c>
      <c r="Q53" s="50">
        <v>97.6</v>
      </c>
      <c r="R53" s="50">
        <v>97.6</v>
      </c>
      <c r="S53" s="50">
        <v>97.6</v>
      </c>
      <c r="T53" s="50">
        <v>97.6</v>
      </c>
      <c r="U53" s="50">
        <v>97.6</v>
      </c>
      <c r="V53" s="50">
        <v>60.9</v>
      </c>
      <c r="W53" s="50">
        <v>60.9</v>
      </c>
      <c r="X53" s="50">
        <v>60.9</v>
      </c>
      <c r="Y53" s="50">
        <v>95.9</v>
      </c>
      <c r="Z53" s="50">
        <v>95.9</v>
      </c>
      <c r="AA53" s="50">
        <v>95.9</v>
      </c>
      <c r="AB53" s="50">
        <v>95.9</v>
      </c>
      <c r="AC53" s="50">
        <v>86</v>
      </c>
      <c r="AD53" s="50">
        <v>76</v>
      </c>
      <c r="AE53" s="50">
        <v>80</v>
      </c>
      <c r="AF53" s="50">
        <v>71</v>
      </c>
      <c r="AG53" s="56">
        <v>144</v>
      </c>
      <c r="AH53" s="52">
        <f t="shared" si="2"/>
        <v>98.7</v>
      </c>
      <c r="AI53" s="53">
        <f t="shared" si="3"/>
        <v>25.7</v>
      </c>
      <c r="AK53" s="54"/>
    </row>
    <row r="54" spans="1:41" x14ac:dyDescent="0.25">
      <c r="A54" s="60" t="s">
        <v>62</v>
      </c>
      <c r="B54" s="72">
        <v>34.799999999999997</v>
      </c>
      <c r="C54" s="72">
        <v>35</v>
      </c>
      <c r="D54" s="72">
        <v>26.3</v>
      </c>
      <c r="E54" s="72">
        <v>26.3</v>
      </c>
      <c r="F54" s="72">
        <v>26.3</v>
      </c>
      <c r="G54" s="72">
        <v>26.3</v>
      </c>
      <c r="H54" s="72">
        <v>26.3</v>
      </c>
      <c r="I54" s="72">
        <v>22.9</v>
      </c>
      <c r="J54" s="72">
        <v>30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68</v>
      </c>
      <c r="Q54" s="72">
        <v>67</v>
      </c>
      <c r="R54" s="72">
        <v>67</v>
      </c>
      <c r="S54" s="50">
        <v>61</v>
      </c>
      <c r="T54" s="50">
        <v>59.7</v>
      </c>
      <c r="U54" s="50">
        <v>59.7</v>
      </c>
      <c r="V54" s="50">
        <v>0</v>
      </c>
      <c r="W54" s="50">
        <v>0</v>
      </c>
      <c r="X54" s="50">
        <v>0</v>
      </c>
      <c r="Y54" s="50">
        <v>43.4</v>
      </c>
      <c r="Z54" s="50">
        <v>58</v>
      </c>
      <c r="AA54" s="50">
        <v>55</v>
      </c>
      <c r="AB54" s="50">
        <v>53</v>
      </c>
      <c r="AC54" s="50">
        <v>53</v>
      </c>
      <c r="AD54" s="50">
        <v>45</v>
      </c>
      <c r="AE54" s="50">
        <v>44</v>
      </c>
      <c r="AF54" s="50">
        <v>44</v>
      </c>
      <c r="AG54" s="61">
        <v>70</v>
      </c>
      <c r="AH54" s="52">
        <f t="shared" si="2"/>
        <v>68</v>
      </c>
      <c r="AI54" s="53">
        <f t="shared" si="3"/>
        <v>0</v>
      </c>
      <c r="AK54" s="54"/>
    </row>
    <row r="55" spans="1:41" x14ac:dyDescent="0.25">
      <c r="A55" s="60" t="s">
        <v>63</v>
      </c>
      <c r="B55" s="72">
        <v>42</v>
      </c>
      <c r="C55" s="72">
        <v>42</v>
      </c>
      <c r="D55" s="72">
        <v>22.2</v>
      </c>
      <c r="E55" s="72">
        <v>22.3</v>
      </c>
      <c r="F55" s="72">
        <v>21.9</v>
      </c>
      <c r="G55" s="72">
        <v>21.9</v>
      </c>
      <c r="H55" s="72">
        <v>21.9</v>
      </c>
      <c r="I55" s="72">
        <v>15.6</v>
      </c>
      <c r="J55" s="72">
        <v>15.6</v>
      </c>
      <c r="K55" s="72">
        <v>15.8</v>
      </c>
      <c r="L55" s="72">
        <v>15.8</v>
      </c>
      <c r="M55" s="72">
        <v>22.3</v>
      </c>
      <c r="N55" s="72">
        <v>22.3</v>
      </c>
      <c r="O55" s="72">
        <v>22.3</v>
      </c>
      <c r="P55" s="72">
        <v>60.5</v>
      </c>
      <c r="Q55" s="72">
        <v>60.4</v>
      </c>
      <c r="R55" s="72">
        <v>69</v>
      </c>
      <c r="S55" s="50">
        <v>61.5</v>
      </c>
      <c r="T55" s="50">
        <v>45.6</v>
      </c>
      <c r="U55" s="50">
        <v>45.6</v>
      </c>
      <c r="V55" s="50">
        <v>16.7</v>
      </c>
      <c r="W55" s="50">
        <v>0</v>
      </c>
      <c r="X55" s="50">
        <v>16.7</v>
      </c>
      <c r="Y55" s="50">
        <v>42.6</v>
      </c>
      <c r="Z55" s="50">
        <v>42.6</v>
      </c>
      <c r="AA55" s="50">
        <v>51.6</v>
      </c>
      <c r="AB55" s="50">
        <v>51.6</v>
      </c>
      <c r="AC55" s="50">
        <v>51.6</v>
      </c>
      <c r="AD55" s="50">
        <v>51.6</v>
      </c>
      <c r="AE55" s="50">
        <v>69</v>
      </c>
      <c r="AF55" s="50">
        <v>69</v>
      </c>
      <c r="AG55" s="61">
        <v>69</v>
      </c>
      <c r="AH55" s="52">
        <f t="shared" si="2"/>
        <v>69</v>
      </c>
      <c r="AI55" s="53">
        <f t="shared" si="3"/>
        <v>0</v>
      </c>
      <c r="AK55" s="54"/>
    </row>
    <row r="56" spans="1:41" x14ac:dyDescent="0.25">
      <c r="A56" s="60" t="s">
        <v>64</v>
      </c>
      <c r="B56" s="72">
        <v>44.1</v>
      </c>
      <c r="C56" s="72">
        <v>44.3</v>
      </c>
      <c r="D56" s="72">
        <v>44.3</v>
      </c>
      <c r="E56" s="72">
        <v>44.3</v>
      </c>
      <c r="F56" s="72">
        <v>44.3</v>
      </c>
      <c r="G56" s="72">
        <v>44.3</v>
      </c>
      <c r="H56" s="72">
        <v>44.3</v>
      </c>
      <c r="I56" s="63">
        <v>45.6</v>
      </c>
      <c r="J56" s="63">
        <v>45.6</v>
      </c>
      <c r="K56" s="63">
        <v>46.4</v>
      </c>
      <c r="L56" s="63">
        <v>46.4</v>
      </c>
      <c r="M56" s="72">
        <v>46.4</v>
      </c>
      <c r="N56" s="72">
        <v>46.4</v>
      </c>
      <c r="O56" s="72">
        <v>46.4</v>
      </c>
      <c r="P56" s="72">
        <v>46.4</v>
      </c>
      <c r="Q56" s="72">
        <v>42.6</v>
      </c>
      <c r="R56" s="72">
        <v>42.6</v>
      </c>
      <c r="S56" s="50">
        <v>40.299999999999997</v>
      </c>
      <c r="T56" s="50">
        <v>40.299999999999997</v>
      </c>
      <c r="U56" s="50">
        <v>40.299999999999997</v>
      </c>
      <c r="V56" s="50">
        <v>42.3</v>
      </c>
      <c r="W56" s="50">
        <v>42.3</v>
      </c>
      <c r="X56" s="50">
        <v>42.3</v>
      </c>
      <c r="Y56" s="50">
        <v>45.6</v>
      </c>
      <c r="Z56" s="50">
        <v>45.6</v>
      </c>
      <c r="AA56" s="50">
        <v>45.6</v>
      </c>
      <c r="AB56" s="50">
        <v>45.6</v>
      </c>
      <c r="AC56" s="50">
        <v>40</v>
      </c>
      <c r="AD56" s="50">
        <v>40</v>
      </c>
      <c r="AE56" s="50">
        <v>43</v>
      </c>
      <c r="AF56" s="50">
        <v>48</v>
      </c>
      <c r="AG56" s="61">
        <v>60</v>
      </c>
      <c r="AH56" s="52">
        <f t="shared" si="2"/>
        <v>48</v>
      </c>
      <c r="AI56" s="53">
        <f t="shared" si="3"/>
        <v>40</v>
      </c>
      <c r="AK56" s="54"/>
    </row>
    <row r="57" spans="1:41" x14ac:dyDescent="0.25">
      <c r="A57" s="60" t="s">
        <v>65</v>
      </c>
      <c r="B57" s="72">
        <v>0</v>
      </c>
      <c r="C57" s="72">
        <v>0</v>
      </c>
      <c r="D57" s="72">
        <v>0</v>
      </c>
      <c r="E57" s="72">
        <v>0</v>
      </c>
      <c r="F57" s="72">
        <v>0</v>
      </c>
      <c r="G57" s="72">
        <v>0</v>
      </c>
      <c r="H57" s="72">
        <v>0</v>
      </c>
      <c r="I57" s="63">
        <v>0</v>
      </c>
      <c r="J57" s="63">
        <v>14.9</v>
      </c>
      <c r="K57" s="63">
        <v>14.7</v>
      </c>
      <c r="L57" s="63">
        <v>14.7</v>
      </c>
      <c r="M57" s="72">
        <v>11.8</v>
      </c>
      <c r="N57" s="72">
        <v>11.8</v>
      </c>
      <c r="O57" s="72">
        <v>10.199999999999999</v>
      </c>
      <c r="P57" s="72">
        <v>10.199999999999999</v>
      </c>
      <c r="Q57" s="72">
        <v>10.199999999999999</v>
      </c>
      <c r="R57" s="72">
        <v>10.199999999999999</v>
      </c>
      <c r="S57" s="50">
        <v>10</v>
      </c>
      <c r="T57" s="50">
        <v>15</v>
      </c>
      <c r="U57" s="50">
        <v>15</v>
      </c>
      <c r="V57" s="50">
        <v>28</v>
      </c>
      <c r="W57" s="50">
        <v>28</v>
      </c>
      <c r="X57" s="50">
        <v>28</v>
      </c>
      <c r="Y57" s="50">
        <v>15</v>
      </c>
      <c r="Z57" s="50">
        <v>20</v>
      </c>
      <c r="AA57" s="50">
        <v>20</v>
      </c>
      <c r="AB57" s="50">
        <v>30</v>
      </c>
      <c r="AC57" s="50">
        <v>10</v>
      </c>
      <c r="AD57" s="50">
        <v>10</v>
      </c>
      <c r="AE57" s="50">
        <v>10</v>
      </c>
      <c r="AF57" s="50">
        <v>10</v>
      </c>
      <c r="AG57" s="61">
        <v>30</v>
      </c>
      <c r="AH57" s="52">
        <f t="shared" si="2"/>
        <v>30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50">
        <v>0</v>
      </c>
      <c r="J58" s="50">
        <v>1.2</v>
      </c>
      <c r="K58" s="50">
        <v>2.9</v>
      </c>
      <c r="L58" s="50">
        <v>2.9</v>
      </c>
      <c r="M58" s="50">
        <v>2.9</v>
      </c>
      <c r="N58" s="50">
        <v>2.9</v>
      </c>
      <c r="O58" s="50">
        <v>2.9</v>
      </c>
      <c r="P58" s="50">
        <v>2.9</v>
      </c>
      <c r="Q58" s="50">
        <v>2.9</v>
      </c>
      <c r="R58" s="50">
        <v>2.9</v>
      </c>
      <c r="S58" s="50">
        <v>2.9</v>
      </c>
      <c r="T58" s="50">
        <v>2.9</v>
      </c>
      <c r="U58" s="50">
        <v>2.9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2.9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15</v>
      </c>
      <c r="C59" s="72">
        <v>15</v>
      </c>
      <c r="D59" s="72">
        <v>15</v>
      </c>
      <c r="E59" s="72">
        <v>15</v>
      </c>
      <c r="F59" s="72">
        <v>15</v>
      </c>
      <c r="G59" s="72">
        <v>15</v>
      </c>
      <c r="H59" s="72">
        <v>15</v>
      </c>
      <c r="I59" s="72">
        <v>15</v>
      </c>
      <c r="J59" s="72">
        <v>15</v>
      </c>
      <c r="K59" s="72">
        <v>15</v>
      </c>
      <c r="L59" s="72">
        <v>15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15</v>
      </c>
      <c r="S59" s="72">
        <v>15</v>
      </c>
      <c r="T59" s="72">
        <v>15</v>
      </c>
      <c r="U59" s="72">
        <v>15</v>
      </c>
      <c r="V59" s="72">
        <v>15</v>
      </c>
      <c r="W59" s="72">
        <v>15</v>
      </c>
      <c r="X59" s="72">
        <v>15</v>
      </c>
      <c r="Y59" s="72">
        <v>15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15</v>
      </c>
      <c r="AI59" s="53">
        <f t="shared" si="3"/>
        <v>15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10.5</v>
      </c>
      <c r="C61" s="72">
        <v>10.5</v>
      </c>
      <c r="D61" s="72">
        <v>10.5</v>
      </c>
      <c r="E61" s="72">
        <v>10.5</v>
      </c>
      <c r="F61" s="72">
        <v>10.5</v>
      </c>
      <c r="G61" s="72">
        <v>10.5</v>
      </c>
      <c r="H61" s="72">
        <v>10.5</v>
      </c>
      <c r="I61" s="72">
        <v>10.5</v>
      </c>
      <c r="J61" s="72">
        <v>10.5</v>
      </c>
      <c r="K61" s="72">
        <v>10.5</v>
      </c>
      <c r="L61" s="72">
        <v>10.5</v>
      </c>
      <c r="M61" s="72">
        <v>10.5</v>
      </c>
      <c r="N61" s="72">
        <v>10.5</v>
      </c>
      <c r="O61" s="72">
        <v>10.5</v>
      </c>
      <c r="P61" s="72">
        <v>10.5</v>
      </c>
      <c r="Q61" s="72">
        <v>10.5</v>
      </c>
      <c r="R61" s="72">
        <v>10.5</v>
      </c>
      <c r="S61" s="72">
        <v>10.5</v>
      </c>
      <c r="T61" s="72">
        <v>10.5</v>
      </c>
      <c r="U61" s="72">
        <v>10.5</v>
      </c>
      <c r="V61" s="72">
        <v>10.5</v>
      </c>
      <c r="W61" s="72">
        <v>10.5</v>
      </c>
      <c r="X61" s="72">
        <v>10.5</v>
      </c>
      <c r="Y61" s="72">
        <v>10.5</v>
      </c>
      <c r="Z61" s="72">
        <v>10.5</v>
      </c>
      <c r="AA61" s="72">
        <v>10.5</v>
      </c>
      <c r="AB61" s="72">
        <v>12.1</v>
      </c>
      <c r="AC61" s="72">
        <v>12.1</v>
      </c>
      <c r="AD61" s="72">
        <v>12.1</v>
      </c>
      <c r="AE61" s="72">
        <v>12.1</v>
      </c>
      <c r="AF61" s="72">
        <v>12.1</v>
      </c>
      <c r="AG61" s="61">
        <v>14.1</v>
      </c>
      <c r="AH61" s="52">
        <f t="shared" si="2"/>
        <v>12.1</v>
      </c>
      <c r="AI61" s="53">
        <f t="shared" si="3"/>
        <v>10.5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6.6</v>
      </c>
      <c r="C62" s="72">
        <v>6.6</v>
      </c>
      <c r="D62" s="72">
        <v>4.7</v>
      </c>
      <c r="E62" s="72">
        <v>4.7</v>
      </c>
      <c r="F62" s="72">
        <v>4.7</v>
      </c>
      <c r="G62" s="72">
        <v>4.7</v>
      </c>
      <c r="H62" s="72">
        <v>4.7</v>
      </c>
      <c r="I62" s="72">
        <v>5</v>
      </c>
      <c r="J62" s="72">
        <v>5</v>
      </c>
      <c r="K62" s="72">
        <v>5</v>
      </c>
      <c r="L62" s="72">
        <v>5</v>
      </c>
      <c r="M62" s="72">
        <v>5</v>
      </c>
      <c r="N62" s="72">
        <v>5</v>
      </c>
      <c r="O62" s="72">
        <v>5</v>
      </c>
      <c r="P62" s="72">
        <v>5</v>
      </c>
      <c r="Q62" s="72">
        <v>5</v>
      </c>
      <c r="R62" s="72">
        <v>5</v>
      </c>
      <c r="S62" s="72">
        <v>5</v>
      </c>
      <c r="T62" s="72">
        <v>5</v>
      </c>
      <c r="U62" s="72">
        <v>5</v>
      </c>
      <c r="V62" s="72">
        <v>5</v>
      </c>
      <c r="W62" s="72">
        <v>5</v>
      </c>
      <c r="X62" s="72">
        <v>5</v>
      </c>
      <c r="Y62" s="72">
        <v>5</v>
      </c>
      <c r="Z62" s="72">
        <v>5</v>
      </c>
      <c r="AA62" s="72">
        <v>5</v>
      </c>
      <c r="AB62" s="72">
        <v>5</v>
      </c>
      <c r="AC62" s="72">
        <v>5</v>
      </c>
      <c r="AD62" s="72">
        <v>5</v>
      </c>
      <c r="AE62" s="72">
        <v>5</v>
      </c>
      <c r="AF62" s="72">
        <v>5</v>
      </c>
      <c r="AG62" s="61">
        <v>14</v>
      </c>
      <c r="AH62" s="52">
        <f t="shared" si="2"/>
        <v>6.6</v>
      </c>
      <c r="AI62" s="53">
        <f t="shared" si="3"/>
        <v>4.7</v>
      </c>
      <c r="AK62" s="54"/>
    </row>
    <row r="63" spans="1:41" x14ac:dyDescent="0.25">
      <c r="A63" s="60" t="s">
        <v>71</v>
      </c>
      <c r="B63" s="72">
        <v>3.3</v>
      </c>
      <c r="C63" s="72">
        <v>3.3</v>
      </c>
      <c r="D63" s="72">
        <v>3.3</v>
      </c>
      <c r="E63" s="72">
        <v>3.3</v>
      </c>
      <c r="F63" s="72">
        <v>3.3</v>
      </c>
      <c r="G63" s="72">
        <v>3.3</v>
      </c>
      <c r="H63" s="72">
        <v>3.3</v>
      </c>
      <c r="I63" s="72">
        <v>3.3</v>
      </c>
      <c r="J63" s="72">
        <v>3.3</v>
      </c>
      <c r="K63" s="72">
        <v>3.3</v>
      </c>
      <c r="L63" s="72">
        <v>3.3</v>
      </c>
      <c r="M63" s="72">
        <v>3.3</v>
      </c>
      <c r="N63" s="72">
        <v>3.3</v>
      </c>
      <c r="O63" s="72">
        <v>3.3</v>
      </c>
      <c r="P63" s="72">
        <v>3.3</v>
      </c>
      <c r="Q63" s="72">
        <v>3.3</v>
      </c>
      <c r="R63" s="72">
        <v>3.3</v>
      </c>
      <c r="S63" s="72">
        <v>3.3</v>
      </c>
      <c r="T63" s="72">
        <v>3.3</v>
      </c>
      <c r="U63" s="72">
        <v>3.3</v>
      </c>
      <c r="V63" s="72">
        <v>3.3</v>
      </c>
      <c r="W63" s="72">
        <v>3.3</v>
      </c>
      <c r="X63" s="72">
        <v>3.3</v>
      </c>
      <c r="Y63" s="72">
        <v>3.3</v>
      </c>
      <c r="Z63" s="72">
        <v>3.3</v>
      </c>
      <c r="AA63" s="72">
        <v>3.3</v>
      </c>
      <c r="AB63" s="72">
        <v>3.3</v>
      </c>
      <c r="AC63" s="72">
        <v>3.3</v>
      </c>
      <c r="AD63" s="72">
        <v>3.3</v>
      </c>
      <c r="AE63" s="72">
        <v>3.3</v>
      </c>
      <c r="AF63" s="72">
        <v>3.3</v>
      </c>
      <c r="AG63" s="61">
        <v>10.050000000000001</v>
      </c>
      <c r="AH63" s="52">
        <f t="shared" si="2"/>
        <v>3.3</v>
      </c>
      <c r="AI63" s="53">
        <f t="shared" si="3"/>
        <v>3.3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" si="8">SUM(B53:B65)</f>
        <v>210.94</v>
      </c>
      <c r="C66" s="67">
        <f t="shared" ref="C66:AG66" si="9">SUM(C53:C65)</f>
        <v>210.94</v>
      </c>
      <c r="D66" s="67">
        <f t="shared" si="9"/>
        <v>180.84</v>
      </c>
      <c r="E66" s="67">
        <f t="shared" si="9"/>
        <v>162.63999999999999</v>
      </c>
      <c r="F66" s="67">
        <f t="shared" si="9"/>
        <v>158.14000000000001</v>
      </c>
      <c r="G66" s="67">
        <f t="shared" si="9"/>
        <v>158.14000000000001</v>
      </c>
      <c r="H66" s="67">
        <f t="shared" si="9"/>
        <v>158.14000000000001</v>
      </c>
      <c r="I66" s="67">
        <f t="shared" si="9"/>
        <v>149.13999999999999</v>
      </c>
      <c r="J66" s="67">
        <f t="shared" si="9"/>
        <v>177.14</v>
      </c>
      <c r="K66" s="67">
        <f t="shared" si="9"/>
        <v>149.74000000000004</v>
      </c>
      <c r="L66" s="67">
        <f t="shared" si="9"/>
        <v>149.74000000000004</v>
      </c>
      <c r="M66" s="67">
        <f t="shared" si="9"/>
        <v>150.34</v>
      </c>
      <c r="N66" s="67">
        <f t="shared" si="9"/>
        <v>150.34</v>
      </c>
      <c r="O66" s="67">
        <f t="shared" si="9"/>
        <v>148.74000000000004</v>
      </c>
      <c r="P66" s="67">
        <f t="shared" si="9"/>
        <v>326.03999999999996</v>
      </c>
      <c r="Q66" s="67">
        <f t="shared" si="9"/>
        <v>320.04000000000002</v>
      </c>
      <c r="R66" s="67">
        <f t="shared" si="9"/>
        <v>328.64</v>
      </c>
      <c r="S66" s="67">
        <f t="shared" si="9"/>
        <v>312.64</v>
      </c>
      <c r="T66" s="67">
        <f t="shared" si="9"/>
        <v>300.44</v>
      </c>
      <c r="U66" s="67">
        <f t="shared" si="9"/>
        <v>300.44</v>
      </c>
      <c r="V66" s="67">
        <f t="shared" si="9"/>
        <v>187.23999999999998</v>
      </c>
      <c r="W66" s="67">
        <f t="shared" si="9"/>
        <v>170.54</v>
      </c>
      <c r="X66" s="67">
        <f t="shared" si="9"/>
        <v>187.23999999999998</v>
      </c>
      <c r="Y66" s="67">
        <f t="shared" si="9"/>
        <v>281.84000000000003</v>
      </c>
      <c r="Z66" s="67">
        <v>301.44000000000005</v>
      </c>
      <c r="AA66" s="67">
        <f t="shared" si="9"/>
        <v>307.44000000000005</v>
      </c>
      <c r="AB66" s="67">
        <f t="shared" si="9"/>
        <v>317.04000000000008</v>
      </c>
      <c r="AC66" s="67">
        <f t="shared" si="9"/>
        <v>281.54000000000002</v>
      </c>
      <c r="AD66" s="67">
        <f t="shared" si="9"/>
        <v>263.54000000000002</v>
      </c>
      <c r="AE66" s="67">
        <f t="shared" si="9"/>
        <v>286.94000000000005</v>
      </c>
      <c r="AF66" s="67">
        <f t="shared" si="9"/>
        <v>282.94000000000005</v>
      </c>
      <c r="AG66" s="68">
        <f t="shared" si="9"/>
        <v>489.91</v>
      </c>
      <c r="AH66" s="52">
        <f t="shared" si="2"/>
        <v>328.64</v>
      </c>
      <c r="AI66" s="53">
        <f t="shared" si="3"/>
        <v>148.74000000000004</v>
      </c>
      <c r="AK66" s="54"/>
    </row>
    <row r="67" spans="1:40" x14ac:dyDescent="0.25">
      <c r="A67" s="49" t="s">
        <v>75</v>
      </c>
      <c r="B67" s="50">
        <v>60</v>
      </c>
      <c r="C67" s="50">
        <v>60</v>
      </c>
      <c r="D67" s="50">
        <v>60</v>
      </c>
      <c r="E67" s="50">
        <v>40</v>
      </c>
      <c r="F67" s="50">
        <v>60</v>
      </c>
      <c r="G67" s="50">
        <v>60</v>
      </c>
      <c r="H67" s="50">
        <v>60</v>
      </c>
      <c r="I67" s="50">
        <v>60</v>
      </c>
      <c r="J67" s="50">
        <v>60</v>
      </c>
      <c r="K67" s="50">
        <v>60</v>
      </c>
      <c r="L67" s="50">
        <v>60</v>
      </c>
      <c r="M67" s="50">
        <v>60</v>
      </c>
      <c r="N67" s="50">
        <v>60</v>
      </c>
      <c r="O67" s="50">
        <v>60</v>
      </c>
      <c r="P67" s="50">
        <v>60</v>
      </c>
      <c r="Q67" s="50">
        <v>60</v>
      </c>
      <c r="R67" s="50">
        <v>60</v>
      </c>
      <c r="S67" s="50">
        <v>60</v>
      </c>
      <c r="T67" s="50">
        <v>60</v>
      </c>
      <c r="U67" s="50">
        <v>40</v>
      </c>
      <c r="V67" s="50">
        <v>40</v>
      </c>
      <c r="W67" s="50">
        <v>40</v>
      </c>
      <c r="X67" s="50">
        <v>60</v>
      </c>
      <c r="Y67" s="50">
        <v>40</v>
      </c>
      <c r="Z67" s="50">
        <v>40</v>
      </c>
      <c r="AA67" s="50">
        <v>45</v>
      </c>
      <c r="AB67" s="50">
        <v>45</v>
      </c>
      <c r="AC67" s="50">
        <v>45</v>
      </c>
      <c r="AD67" s="50">
        <v>45</v>
      </c>
      <c r="AE67" s="50">
        <v>60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40</v>
      </c>
      <c r="AK67" s="54"/>
    </row>
    <row r="68" spans="1:40" x14ac:dyDescent="0.25">
      <c r="A68" s="60" t="s">
        <v>76</v>
      </c>
      <c r="B68" s="72">
        <v>28.6</v>
      </c>
      <c r="C68" s="72">
        <v>28.6</v>
      </c>
      <c r="D68" s="72">
        <v>28.8</v>
      </c>
      <c r="E68" s="72">
        <v>16.600000000000001</v>
      </c>
      <c r="F68" s="72">
        <v>28.4</v>
      </c>
      <c r="G68" s="72">
        <v>28</v>
      </c>
      <c r="H68" s="72">
        <v>28.3</v>
      </c>
      <c r="I68" s="72">
        <v>28.3</v>
      </c>
      <c r="J68" s="72">
        <v>28.3</v>
      </c>
      <c r="K68" s="72">
        <v>28.3</v>
      </c>
      <c r="L68" s="72">
        <v>28.3</v>
      </c>
      <c r="M68" s="72">
        <v>28.3</v>
      </c>
      <c r="N68" s="72">
        <v>28.3</v>
      </c>
      <c r="O68" s="72">
        <v>28.3</v>
      </c>
      <c r="P68" s="72">
        <v>28.3</v>
      </c>
      <c r="Q68" s="72">
        <v>28.3</v>
      </c>
      <c r="R68" s="72">
        <v>28.3</v>
      </c>
      <c r="S68" s="72">
        <v>28.3</v>
      </c>
      <c r="T68" s="72">
        <v>28.3</v>
      </c>
      <c r="U68" s="72">
        <v>15.6</v>
      </c>
      <c r="V68" s="72">
        <v>15.6</v>
      </c>
      <c r="W68" s="72">
        <v>15.6</v>
      </c>
      <c r="X68" s="72">
        <v>28</v>
      </c>
      <c r="Y68" s="72">
        <v>15.6</v>
      </c>
      <c r="Z68" s="72">
        <v>15.6</v>
      </c>
      <c r="AA68" s="72">
        <v>19</v>
      </c>
      <c r="AB68" s="72">
        <v>19</v>
      </c>
      <c r="AC68" s="72">
        <v>19</v>
      </c>
      <c r="AD68" s="72">
        <v>19</v>
      </c>
      <c r="AE68" s="72">
        <v>28.1</v>
      </c>
      <c r="AF68" s="72">
        <v>28.1</v>
      </c>
      <c r="AG68" s="61">
        <v>32</v>
      </c>
      <c r="AH68" s="52">
        <f t="shared" si="2"/>
        <v>28.8</v>
      </c>
      <c r="AI68" s="53">
        <f t="shared" si="3"/>
        <v>15.6</v>
      </c>
      <c r="AK68" s="54"/>
    </row>
    <row r="69" spans="1:40" ht="15.75" thickBot="1" x14ac:dyDescent="0.3">
      <c r="A69" s="78" t="s">
        <v>77</v>
      </c>
      <c r="B69" s="74">
        <v>10.4</v>
      </c>
      <c r="C69" s="74">
        <v>10.4</v>
      </c>
      <c r="D69" s="74">
        <v>10.5</v>
      </c>
      <c r="E69" s="74">
        <v>6.1</v>
      </c>
      <c r="F69" s="74">
        <v>10.4</v>
      </c>
      <c r="G69" s="74">
        <v>10.199999999999999</v>
      </c>
      <c r="H69" s="74">
        <v>10.3</v>
      </c>
      <c r="I69" s="74">
        <v>10.3</v>
      </c>
      <c r="J69" s="74">
        <v>10.3</v>
      </c>
      <c r="K69" s="74">
        <v>10.3</v>
      </c>
      <c r="L69" s="74">
        <v>10.3</v>
      </c>
      <c r="M69" s="74">
        <v>10.3</v>
      </c>
      <c r="N69" s="74">
        <v>10.3</v>
      </c>
      <c r="O69" s="74">
        <v>10.3</v>
      </c>
      <c r="P69" s="74">
        <v>10.3</v>
      </c>
      <c r="Q69" s="74">
        <v>10.3</v>
      </c>
      <c r="R69" s="74">
        <v>10.3</v>
      </c>
      <c r="S69" s="74">
        <v>10.3</v>
      </c>
      <c r="T69" s="74">
        <v>10.3</v>
      </c>
      <c r="U69" s="74">
        <v>5.7</v>
      </c>
      <c r="V69" s="74">
        <v>5.7</v>
      </c>
      <c r="W69" s="74">
        <v>5.7</v>
      </c>
      <c r="X69" s="74">
        <v>10.5</v>
      </c>
      <c r="Y69" s="74">
        <v>5.7</v>
      </c>
      <c r="Z69" s="74">
        <v>5.7</v>
      </c>
      <c r="AA69" s="74">
        <v>6.9</v>
      </c>
      <c r="AB69" s="74">
        <v>6.9</v>
      </c>
      <c r="AC69" s="74">
        <v>6.9</v>
      </c>
      <c r="AD69" s="74">
        <v>6.9</v>
      </c>
      <c r="AE69" s="74">
        <v>10.199999999999999</v>
      </c>
      <c r="AF69" s="74">
        <v>10.199999999999999</v>
      </c>
      <c r="AG69" s="75">
        <v>14</v>
      </c>
      <c r="AH69" s="52">
        <f t="shared" si="2"/>
        <v>10.5</v>
      </c>
      <c r="AI69" s="53">
        <f t="shared" si="3"/>
        <v>5.7</v>
      </c>
      <c r="AK69" s="54"/>
    </row>
    <row r="70" spans="1:40" ht="15.75" thickBot="1" x14ac:dyDescent="0.3">
      <c r="A70" s="81" t="s">
        <v>78</v>
      </c>
      <c r="B70" s="67">
        <f t="shared" ref="B70:K70" si="10">B67+B68+B69</f>
        <v>99</v>
      </c>
      <c r="C70" s="67">
        <f t="shared" si="10"/>
        <v>99</v>
      </c>
      <c r="D70" s="67">
        <f t="shared" si="10"/>
        <v>99.3</v>
      </c>
      <c r="E70" s="67">
        <f t="shared" si="10"/>
        <v>62.7</v>
      </c>
      <c r="F70" s="67">
        <f t="shared" si="10"/>
        <v>98.800000000000011</v>
      </c>
      <c r="G70" s="67">
        <f t="shared" si="10"/>
        <v>98.2</v>
      </c>
      <c r="H70" s="67">
        <f t="shared" si="10"/>
        <v>98.6</v>
      </c>
      <c r="I70" s="67">
        <f t="shared" si="10"/>
        <v>98.6</v>
      </c>
      <c r="J70" s="67">
        <f t="shared" si="10"/>
        <v>98.6</v>
      </c>
      <c r="K70" s="67">
        <f t="shared" si="10"/>
        <v>98.6</v>
      </c>
      <c r="L70" s="67">
        <f>L67+L68+L69</f>
        <v>98.6</v>
      </c>
      <c r="M70" s="67">
        <f t="shared" ref="M70:AF70" si="11">M67+M68+M69</f>
        <v>98.6</v>
      </c>
      <c r="N70" s="67">
        <f t="shared" si="11"/>
        <v>98.6</v>
      </c>
      <c r="O70" s="67">
        <f t="shared" si="11"/>
        <v>98.6</v>
      </c>
      <c r="P70" s="67">
        <f t="shared" si="11"/>
        <v>98.6</v>
      </c>
      <c r="Q70" s="67">
        <f t="shared" si="11"/>
        <v>98.6</v>
      </c>
      <c r="R70" s="67">
        <f t="shared" si="11"/>
        <v>98.6</v>
      </c>
      <c r="S70" s="67">
        <f t="shared" si="11"/>
        <v>98.6</v>
      </c>
      <c r="T70" s="67">
        <f t="shared" si="11"/>
        <v>98.6</v>
      </c>
      <c r="U70" s="67">
        <f t="shared" si="11"/>
        <v>61.300000000000004</v>
      </c>
      <c r="V70" s="67">
        <f t="shared" si="11"/>
        <v>61.300000000000004</v>
      </c>
      <c r="W70" s="67">
        <f t="shared" si="11"/>
        <v>61.300000000000004</v>
      </c>
      <c r="X70" s="67">
        <f t="shared" si="11"/>
        <v>98.5</v>
      </c>
      <c r="Y70" s="67">
        <f t="shared" si="11"/>
        <v>61.300000000000004</v>
      </c>
      <c r="Z70" s="67">
        <v>61.300000000000004</v>
      </c>
      <c r="AA70" s="67">
        <f t="shared" si="11"/>
        <v>70.900000000000006</v>
      </c>
      <c r="AB70" s="67">
        <f t="shared" si="11"/>
        <v>70.900000000000006</v>
      </c>
      <c r="AC70" s="67">
        <f t="shared" si="11"/>
        <v>70.900000000000006</v>
      </c>
      <c r="AD70" s="67">
        <f t="shared" si="11"/>
        <v>70.900000000000006</v>
      </c>
      <c r="AE70" s="67">
        <f t="shared" si="11"/>
        <v>98.3</v>
      </c>
      <c r="AF70" s="67">
        <f t="shared" si="11"/>
        <v>98.3</v>
      </c>
      <c r="AG70" s="68">
        <f>SUM(AG67:AG69)</f>
        <v>106</v>
      </c>
      <c r="AH70" s="52">
        <f t="shared" si="2"/>
        <v>99.3</v>
      </c>
      <c r="AI70" s="53">
        <f t="shared" si="3"/>
        <v>61.300000000000004</v>
      </c>
      <c r="AK70" s="54"/>
    </row>
    <row r="71" spans="1:40" x14ac:dyDescent="0.25">
      <c r="A71" s="49" t="s">
        <v>79</v>
      </c>
      <c r="B71" s="50">
        <v>75.400000000000006</v>
      </c>
      <c r="C71" s="50">
        <v>67.8</v>
      </c>
      <c r="D71" s="50">
        <v>68.900000000000006</v>
      </c>
      <c r="E71" s="50">
        <v>63.8</v>
      </c>
      <c r="F71" s="50">
        <v>61.3</v>
      </c>
      <c r="G71" s="50">
        <v>60</v>
      </c>
      <c r="H71" s="50">
        <v>61.3</v>
      </c>
      <c r="I71" s="50">
        <v>62</v>
      </c>
      <c r="J71" s="50">
        <v>58.8</v>
      </c>
      <c r="K71" s="50">
        <v>52.9</v>
      </c>
      <c r="L71" s="50">
        <v>58.8</v>
      </c>
      <c r="M71" s="50">
        <v>58.7</v>
      </c>
      <c r="N71" s="50">
        <v>54.7</v>
      </c>
      <c r="O71" s="50">
        <v>62.7</v>
      </c>
      <c r="P71" s="50">
        <v>62.7</v>
      </c>
      <c r="Q71" s="50">
        <v>58</v>
      </c>
      <c r="R71" s="50">
        <v>72</v>
      </c>
      <c r="S71" s="50">
        <v>60</v>
      </c>
      <c r="T71" s="50">
        <v>60</v>
      </c>
      <c r="U71" s="50">
        <v>70</v>
      </c>
      <c r="V71" s="50">
        <v>68</v>
      </c>
      <c r="W71" s="50">
        <v>68</v>
      </c>
      <c r="X71" s="50">
        <v>68</v>
      </c>
      <c r="Y71" s="50">
        <v>68</v>
      </c>
      <c r="Z71" s="50">
        <v>65</v>
      </c>
      <c r="AA71" s="50">
        <v>75</v>
      </c>
      <c r="AB71" s="50">
        <v>75</v>
      </c>
      <c r="AC71" s="50">
        <v>53</v>
      </c>
      <c r="AD71" s="50">
        <v>53</v>
      </c>
      <c r="AE71" s="50">
        <v>60</v>
      </c>
      <c r="AF71" s="50">
        <v>60</v>
      </c>
      <c r="AG71" s="56"/>
      <c r="AH71" s="52">
        <f t="shared" si="2"/>
        <v>75.400000000000006</v>
      </c>
      <c r="AI71" s="53">
        <f t="shared" si="3"/>
        <v>52.9</v>
      </c>
      <c r="AK71" s="54"/>
    </row>
    <row r="72" spans="1:40" x14ac:dyDescent="0.25">
      <c r="A72" s="60" t="s">
        <v>80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50</v>
      </c>
      <c r="Q72" s="72">
        <v>70</v>
      </c>
      <c r="R72" s="72">
        <v>81</v>
      </c>
      <c r="S72" s="72">
        <v>84.4</v>
      </c>
      <c r="T72" s="72">
        <v>84.4</v>
      </c>
      <c r="U72" s="72">
        <v>82.3</v>
      </c>
      <c r="V72" s="72">
        <v>80.8</v>
      </c>
      <c r="W72" s="72">
        <v>80.8</v>
      </c>
      <c r="X72" s="72">
        <v>80.8</v>
      </c>
      <c r="Y72" s="72">
        <v>80.8</v>
      </c>
      <c r="Z72" s="72">
        <v>80.8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84.4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293</v>
      </c>
      <c r="C73" s="72">
        <v>301</v>
      </c>
      <c r="D73" s="72">
        <v>340.9</v>
      </c>
      <c r="E73" s="72">
        <v>490</v>
      </c>
      <c r="F73" s="72">
        <v>478.2</v>
      </c>
      <c r="G73" s="72">
        <v>450</v>
      </c>
      <c r="H73" s="72">
        <v>464</v>
      </c>
      <c r="I73" s="72">
        <v>467</v>
      </c>
      <c r="J73" s="72">
        <v>456</v>
      </c>
      <c r="K73" s="72">
        <v>505</v>
      </c>
      <c r="L73" s="72">
        <v>540</v>
      </c>
      <c r="M73" s="72">
        <v>540</v>
      </c>
      <c r="N73" s="72">
        <v>526</v>
      </c>
      <c r="O73" s="72">
        <v>450</v>
      </c>
      <c r="P73" s="72">
        <v>450</v>
      </c>
      <c r="Q73" s="72">
        <v>265</v>
      </c>
      <c r="R73" s="72">
        <v>423</v>
      </c>
      <c r="S73" s="72">
        <v>445</v>
      </c>
      <c r="T73" s="72">
        <v>435</v>
      </c>
      <c r="U73" s="72">
        <v>352</v>
      </c>
      <c r="V73" s="72">
        <v>342.4</v>
      </c>
      <c r="W73" s="72">
        <v>332</v>
      </c>
      <c r="X73" s="72">
        <v>298</v>
      </c>
      <c r="Y73" s="72">
        <v>336</v>
      </c>
      <c r="Z73" s="72">
        <v>370</v>
      </c>
      <c r="AA73" s="72">
        <v>245</v>
      </c>
      <c r="AB73" s="72">
        <v>263</v>
      </c>
      <c r="AC73" s="72">
        <v>261</v>
      </c>
      <c r="AD73" s="72">
        <v>255</v>
      </c>
      <c r="AE73" s="72">
        <v>220</v>
      </c>
      <c r="AF73" s="72">
        <v>218</v>
      </c>
      <c r="AG73" s="82"/>
      <c r="AH73" s="52">
        <f t="shared" si="2"/>
        <v>540</v>
      </c>
      <c r="AI73" s="53">
        <f t="shared" si="3"/>
        <v>218</v>
      </c>
      <c r="AK73" s="54"/>
    </row>
    <row r="74" spans="1:40" x14ac:dyDescent="0.25">
      <c r="A74" s="60" t="s">
        <v>82</v>
      </c>
      <c r="B74" s="72">
        <v>15</v>
      </c>
      <c r="C74" s="72">
        <v>15</v>
      </c>
      <c r="D74" s="72">
        <v>15</v>
      </c>
      <c r="E74" s="83">
        <v>0</v>
      </c>
      <c r="F74" s="83">
        <v>52</v>
      </c>
      <c r="G74" s="83">
        <v>55.4</v>
      </c>
      <c r="H74" s="83">
        <v>54.7</v>
      </c>
      <c r="I74" s="83">
        <v>54.1</v>
      </c>
      <c r="J74" s="83">
        <v>47.8</v>
      </c>
      <c r="K74" s="83">
        <v>52</v>
      </c>
      <c r="L74" s="83">
        <v>55.3</v>
      </c>
      <c r="M74" s="83">
        <v>50.2</v>
      </c>
      <c r="N74" s="83">
        <v>47.6</v>
      </c>
      <c r="O74" s="83">
        <v>48.5</v>
      </c>
      <c r="P74" s="83">
        <v>48.5</v>
      </c>
      <c r="Q74" s="83">
        <v>48.5</v>
      </c>
      <c r="R74" s="83">
        <v>52.7</v>
      </c>
      <c r="S74" s="83">
        <v>50.8</v>
      </c>
      <c r="T74" s="83">
        <v>50.8</v>
      </c>
      <c r="U74" s="83">
        <v>50.8</v>
      </c>
      <c r="V74" s="83">
        <v>15</v>
      </c>
      <c r="W74" s="83">
        <v>15</v>
      </c>
      <c r="X74" s="83">
        <v>15</v>
      </c>
      <c r="Y74" s="83">
        <v>15</v>
      </c>
      <c r="Z74" s="72">
        <v>15</v>
      </c>
      <c r="AA74" s="72">
        <v>15</v>
      </c>
      <c r="AB74" s="72">
        <v>15</v>
      </c>
      <c r="AC74" s="72">
        <v>15</v>
      </c>
      <c r="AD74" s="72">
        <v>10</v>
      </c>
      <c r="AE74" s="72">
        <v>10</v>
      </c>
      <c r="AF74" s="72">
        <v>10</v>
      </c>
      <c r="AG74" s="82"/>
      <c r="AH74" s="52">
        <f t="shared" si="2"/>
        <v>55.4</v>
      </c>
      <c r="AI74" s="53">
        <f t="shared" si="3"/>
        <v>0</v>
      </c>
      <c r="AK74" s="54"/>
    </row>
    <row r="75" spans="1:40" x14ac:dyDescent="0.25">
      <c r="A75" s="60" t="s">
        <v>83</v>
      </c>
      <c r="B75" s="50">
        <v>0</v>
      </c>
      <c r="C75" s="50">
        <v>0</v>
      </c>
      <c r="D75" s="50">
        <v>0</v>
      </c>
      <c r="E75" s="50">
        <v>27.4</v>
      </c>
      <c r="F75" s="50">
        <v>28.4</v>
      </c>
      <c r="G75" s="50">
        <v>26</v>
      </c>
      <c r="H75" s="50">
        <v>26.3</v>
      </c>
      <c r="I75" s="50">
        <v>29.1</v>
      </c>
      <c r="J75" s="50">
        <v>31.1</v>
      </c>
      <c r="K75" s="50">
        <v>31.1</v>
      </c>
      <c r="L75" s="50">
        <v>31.1</v>
      </c>
      <c r="M75" s="50">
        <v>61.5</v>
      </c>
      <c r="N75" s="50">
        <v>37.299999999999997</v>
      </c>
      <c r="O75" s="50">
        <v>38.6</v>
      </c>
      <c r="P75" s="50">
        <v>38.6</v>
      </c>
      <c r="Q75" s="50">
        <v>40.200000000000003</v>
      </c>
      <c r="R75" s="50">
        <v>40</v>
      </c>
      <c r="S75" s="50">
        <v>33.9</v>
      </c>
      <c r="T75" s="50">
        <v>33.9</v>
      </c>
      <c r="U75" s="50">
        <v>33.9</v>
      </c>
      <c r="V75" s="50">
        <v>28.6</v>
      </c>
      <c r="W75" s="50">
        <v>28.6</v>
      </c>
      <c r="X75" s="50">
        <v>28.6</v>
      </c>
      <c r="Y75" s="50">
        <v>28.6</v>
      </c>
      <c r="Z75" s="50">
        <v>28.6</v>
      </c>
      <c r="AA75" s="50">
        <v>0</v>
      </c>
      <c r="AB75" s="50">
        <v>0</v>
      </c>
      <c r="AC75" s="50">
        <v>0</v>
      </c>
      <c r="AD75" s="50">
        <v>0</v>
      </c>
      <c r="AE75" s="50">
        <v>0</v>
      </c>
      <c r="AF75" s="50">
        <v>0</v>
      </c>
      <c r="AG75" s="82"/>
      <c r="AH75" s="52">
        <f t="shared" ref="AH75:AH117" si="12">MAX(B75:AF75)</f>
        <v>61.5</v>
      </c>
      <c r="AI75" s="53">
        <f t="shared" ref="AI75:AI117" si="13">MIN(B75:AF75)</f>
        <v>0</v>
      </c>
      <c r="AK75" s="54"/>
    </row>
    <row r="76" spans="1:40" x14ac:dyDescent="0.25">
      <c r="A76" s="60" t="s">
        <v>84</v>
      </c>
      <c r="B76" s="84">
        <v>7</v>
      </c>
      <c r="C76" s="84">
        <v>7</v>
      </c>
      <c r="D76" s="84">
        <v>7</v>
      </c>
      <c r="E76" s="84">
        <v>5</v>
      </c>
      <c r="F76" s="84">
        <v>5</v>
      </c>
      <c r="G76" s="84">
        <v>5</v>
      </c>
      <c r="H76" s="84">
        <v>5</v>
      </c>
      <c r="I76" s="84">
        <v>5</v>
      </c>
      <c r="J76" s="84">
        <v>5</v>
      </c>
      <c r="K76" s="84">
        <v>5</v>
      </c>
      <c r="L76" s="84">
        <v>5</v>
      </c>
      <c r="M76" s="84">
        <v>5</v>
      </c>
      <c r="N76" s="84">
        <v>5</v>
      </c>
      <c r="O76" s="84">
        <v>5</v>
      </c>
      <c r="P76" s="84">
        <v>5</v>
      </c>
      <c r="Q76" s="84">
        <v>5</v>
      </c>
      <c r="R76" s="84">
        <v>5</v>
      </c>
      <c r="S76" s="84">
        <v>5</v>
      </c>
      <c r="T76" s="84">
        <v>5</v>
      </c>
      <c r="U76" s="84">
        <v>5</v>
      </c>
      <c r="V76" s="84">
        <v>5</v>
      </c>
      <c r="W76" s="84">
        <v>5</v>
      </c>
      <c r="X76" s="84">
        <v>5</v>
      </c>
      <c r="Y76" s="84">
        <v>5</v>
      </c>
      <c r="Z76" s="84">
        <v>7</v>
      </c>
      <c r="AA76" s="84">
        <v>7</v>
      </c>
      <c r="AB76" s="84">
        <v>7</v>
      </c>
      <c r="AC76" s="84">
        <v>7</v>
      </c>
      <c r="AD76" s="84">
        <v>7</v>
      </c>
      <c r="AE76" s="84">
        <v>7</v>
      </c>
      <c r="AF76" s="84">
        <v>7</v>
      </c>
      <c r="AG76" s="82"/>
      <c r="AH76" s="52">
        <f t="shared" si="12"/>
        <v>7</v>
      </c>
      <c r="AI76" s="53">
        <f t="shared" si="13"/>
        <v>5</v>
      </c>
      <c r="AK76" s="54"/>
    </row>
    <row r="77" spans="1:40" ht="15.75" thickBot="1" x14ac:dyDescent="0.3">
      <c r="A77" s="60" t="s">
        <v>85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2"/>
        <v>0</v>
      </c>
      <c r="AI77" s="53">
        <f t="shared" si="13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2"/>
        <v>0</v>
      </c>
      <c r="AI78" s="53">
        <f t="shared" si="13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>
        <v>5</v>
      </c>
      <c r="C79" s="84">
        <v>5</v>
      </c>
      <c r="D79" s="84">
        <v>5</v>
      </c>
      <c r="E79" s="84">
        <v>5</v>
      </c>
      <c r="F79" s="84">
        <v>5</v>
      </c>
      <c r="G79" s="84">
        <v>5</v>
      </c>
      <c r="H79" s="84">
        <v>5</v>
      </c>
      <c r="I79" s="84">
        <v>5</v>
      </c>
      <c r="J79" s="84">
        <v>5</v>
      </c>
      <c r="K79" s="84">
        <v>5</v>
      </c>
      <c r="L79" s="84">
        <v>5</v>
      </c>
      <c r="M79" s="84">
        <v>5</v>
      </c>
      <c r="N79" s="84">
        <v>5</v>
      </c>
      <c r="O79" s="84">
        <v>5</v>
      </c>
      <c r="P79" s="84">
        <v>5</v>
      </c>
      <c r="Q79" s="84">
        <v>5</v>
      </c>
      <c r="R79" s="84">
        <v>5</v>
      </c>
      <c r="S79" s="84">
        <v>5</v>
      </c>
      <c r="T79" s="84">
        <v>5</v>
      </c>
      <c r="U79" s="84">
        <v>5</v>
      </c>
      <c r="V79" s="84">
        <v>5</v>
      </c>
      <c r="W79" s="84">
        <v>5</v>
      </c>
      <c r="X79" s="84">
        <v>5</v>
      </c>
      <c r="Y79" s="84">
        <v>5</v>
      </c>
      <c r="Z79" s="84">
        <v>5</v>
      </c>
      <c r="AA79" s="84">
        <v>5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2"/>
        <v>5</v>
      </c>
      <c r="AI79" s="53">
        <f t="shared" si="13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2"/>
        <v>0</v>
      </c>
      <c r="AI80" s="53">
        <f t="shared" si="13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2"/>
        <v>0</v>
      </c>
      <c r="AI81" s="53">
        <f t="shared" si="13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" si="14">SUMIF(B71:B81,"&gt;0")</f>
        <v>395.4</v>
      </c>
      <c r="C82" s="67">
        <f t="shared" ref="C82:AF82" si="15">SUMIF(C71:C81,"&gt;0")</f>
        <v>395.8</v>
      </c>
      <c r="D82" s="67">
        <f t="shared" si="15"/>
        <v>436.79999999999995</v>
      </c>
      <c r="E82" s="67">
        <f t="shared" si="15"/>
        <v>591.19999999999993</v>
      </c>
      <c r="F82" s="67">
        <f t="shared" si="15"/>
        <v>629.9</v>
      </c>
      <c r="G82" s="67">
        <f t="shared" si="15"/>
        <v>601.4</v>
      </c>
      <c r="H82" s="67">
        <f t="shared" si="15"/>
        <v>616.29999999999995</v>
      </c>
      <c r="I82" s="67">
        <f t="shared" si="15"/>
        <v>622.20000000000005</v>
      </c>
      <c r="J82" s="67">
        <f t="shared" si="15"/>
        <v>603.69999999999993</v>
      </c>
      <c r="K82" s="67">
        <f t="shared" si="15"/>
        <v>651</v>
      </c>
      <c r="L82" s="67">
        <f t="shared" si="15"/>
        <v>695.19999999999993</v>
      </c>
      <c r="M82" s="67">
        <f t="shared" si="15"/>
        <v>720.40000000000009</v>
      </c>
      <c r="N82" s="67">
        <f t="shared" si="15"/>
        <v>675.6</v>
      </c>
      <c r="O82" s="67">
        <f t="shared" si="15"/>
        <v>609.80000000000007</v>
      </c>
      <c r="P82" s="67">
        <f t="shared" si="15"/>
        <v>659.80000000000007</v>
      </c>
      <c r="Q82" s="67">
        <f t="shared" si="15"/>
        <v>491.7</v>
      </c>
      <c r="R82" s="67">
        <f t="shared" si="15"/>
        <v>678.7</v>
      </c>
      <c r="S82" s="67">
        <f t="shared" si="15"/>
        <v>684.09999999999991</v>
      </c>
      <c r="T82" s="67">
        <f t="shared" si="15"/>
        <v>674.09999999999991</v>
      </c>
      <c r="U82" s="67">
        <f t="shared" si="15"/>
        <v>599</v>
      </c>
      <c r="V82" s="67">
        <f t="shared" si="15"/>
        <v>544.79999999999995</v>
      </c>
      <c r="W82" s="67">
        <f t="shared" si="15"/>
        <v>534.4</v>
      </c>
      <c r="X82" s="67">
        <f t="shared" si="15"/>
        <v>500.40000000000003</v>
      </c>
      <c r="Y82" s="67">
        <f t="shared" si="15"/>
        <v>538.4</v>
      </c>
      <c r="Z82" s="67">
        <v>571.4</v>
      </c>
      <c r="AA82" s="67">
        <f t="shared" si="15"/>
        <v>347</v>
      </c>
      <c r="AB82" s="67">
        <f t="shared" si="15"/>
        <v>360</v>
      </c>
      <c r="AC82" s="67">
        <f t="shared" si="15"/>
        <v>336</v>
      </c>
      <c r="AD82" s="67">
        <f t="shared" si="15"/>
        <v>325</v>
      </c>
      <c r="AE82" s="67">
        <f t="shared" si="15"/>
        <v>297</v>
      </c>
      <c r="AF82" s="67">
        <f t="shared" si="15"/>
        <v>295</v>
      </c>
      <c r="AG82" s="95">
        <f>SUM(AG71:AG81)</f>
        <v>0</v>
      </c>
      <c r="AH82" s="52">
        <f t="shared" si="12"/>
        <v>720.40000000000009</v>
      </c>
      <c r="AI82" s="53">
        <f t="shared" si="13"/>
        <v>295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2"/>
        <v>0</v>
      </c>
      <c r="AI83" s="53">
        <f t="shared" si="13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2"/>
        <v>0</v>
      </c>
      <c r="AI84" s="53">
        <f t="shared" si="13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2"/>
        <v>0</v>
      </c>
      <c r="AI85" s="53">
        <f t="shared" si="13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2"/>
        <v>0</v>
      </c>
      <c r="AI86" s="53">
        <f t="shared" si="13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" si="16">B48+B52+B70+B66+B82+B86</f>
        <v>1212.44</v>
      </c>
      <c r="C87" s="102">
        <f t="shared" ref="C87:AG87" si="17">C48+C52+C70+C66+C82+C86</f>
        <v>1193.44</v>
      </c>
      <c r="D87" s="102">
        <f t="shared" si="17"/>
        <v>1174.04</v>
      </c>
      <c r="E87" s="102">
        <f t="shared" si="17"/>
        <v>1262.54</v>
      </c>
      <c r="F87" s="102">
        <f t="shared" si="17"/>
        <v>1322.84</v>
      </c>
      <c r="G87" s="102">
        <f t="shared" si="17"/>
        <v>1293.74</v>
      </c>
      <c r="H87" s="102">
        <f t="shared" si="17"/>
        <v>1279.1399999999999</v>
      </c>
      <c r="I87" s="102">
        <f t="shared" si="17"/>
        <v>1276.04</v>
      </c>
      <c r="J87" s="102">
        <f t="shared" si="17"/>
        <v>1285.54</v>
      </c>
      <c r="K87" s="102">
        <f t="shared" si="17"/>
        <v>1305.54</v>
      </c>
      <c r="L87" s="102">
        <f t="shared" si="17"/>
        <v>1349.6399999999999</v>
      </c>
      <c r="M87" s="102">
        <f t="shared" si="17"/>
        <v>1375.44</v>
      </c>
      <c r="N87" s="102">
        <f t="shared" si="17"/>
        <v>1330.6399999999999</v>
      </c>
      <c r="O87" s="102">
        <f t="shared" si="17"/>
        <v>1263.24</v>
      </c>
      <c r="P87" s="102">
        <f t="shared" si="17"/>
        <v>1505.54</v>
      </c>
      <c r="Q87" s="102">
        <f t="shared" si="17"/>
        <v>1331.44</v>
      </c>
      <c r="R87" s="102">
        <f t="shared" si="17"/>
        <v>1527.04</v>
      </c>
      <c r="S87" s="102">
        <f t="shared" si="17"/>
        <v>1503.7399999999998</v>
      </c>
      <c r="T87" s="102">
        <f t="shared" si="17"/>
        <v>1481.54</v>
      </c>
      <c r="U87" s="102">
        <f t="shared" si="17"/>
        <v>1369.1399999999999</v>
      </c>
      <c r="V87" s="102">
        <f t="shared" si="17"/>
        <v>1201.7399999999998</v>
      </c>
      <c r="W87" s="102">
        <f t="shared" si="17"/>
        <v>1174.6399999999999</v>
      </c>
      <c r="X87" s="102">
        <f t="shared" si="17"/>
        <v>1179.54</v>
      </c>
      <c r="Y87" s="102">
        <f t="shared" si="17"/>
        <v>1303.3400000000001</v>
      </c>
      <c r="Z87" s="102">
        <f t="shared" si="17"/>
        <v>1358.6399999999999</v>
      </c>
      <c r="AA87" s="102">
        <f t="shared" si="17"/>
        <v>1234.8400000000001</v>
      </c>
      <c r="AB87" s="102">
        <f t="shared" si="17"/>
        <v>1257.44</v>
      </c>
      <c r="AC87" s="102">
        <f t="shared" si="17"/>
        <v>1277.94</v>
      </c>
      <c r="AD87" s="102">
        <f t="shared" si="17"/>
        <v>1298.94</v>
      </c>
      <c r="AE87" s="102">
        <f t="shared" si="17"/>
        <v>1371.74</v>
      </c>
      <c r="AF87" s="102">
        <f t="shared" si="17"/>
        <v>1333.24</v>
      </c>
      <c r="AG87" s="68">
        <f t="shared" si="17"/>
        <v>2065.09</v>
      </c>
      <c r="AH87" s="52">
        <f>MAX(B87:AF87)</f>
        <v>1527.04</v>
      </c>
      <c r="AI87" s="53">
        <f>MIN(B87:AF87)</f>
        <v>1174.04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>
        <v>280</v>
      </c>
      <c r="C88" s="104">
        <v>250</v>
      </c>
      <c r="D88" s="104">
        <v>250</v>
      </c>
      <c r="E88" s="104">
        <v>50</v>
      </c>
      <c r="F88" s="104"/>
      <c r="G88" s="104"/>
      <c r="H88" s="104"/>
      <c r="I88" s="104"/>
      <c r="J88" s="104">
        <v>150</v>
      </c>
      <c r="K88" s="104">
        <v>150</v>
      </c>
      <c r="L88" s="104">
        <v>150</v>
      </c>
      <c r="M88" s="104">
        <v>150</v>
      </c>
      <c r="N88" s="104">
        <v>150</v>
      </c>
      <c r="O88" s="104">
        <v>150</v>
      </c>
      <c r="P88" s="104"/>
      <c r="Q88" s="104">
        <v>100</v>
      </c>
      <c r="R88" s="104"/>
      <c r="S88" s="104"/>
      <c r="T88" s="104"/>
      <c r="U88" s="104"/>
      <c r="V88" s="104">
        <v>150</v>
      </c>
      <c r="W88" s="104">
        <v>200</v>
      </c>
      <c r="X88" s="104">
        <v>200</v>
      </c>
      <c r="Y88" s="104">
        <v>150</v>
      </c>
      <c r="Z88" s="104">
        <v>150</v>
      </c>
      <c r="AA88" s="104">
        <v>150</v>
      </c>
      <c r="AB88" s="104">
        <v>150</v>
      </c>
      <c r="AC88" s="104">
        <v>150</v>
      </c>
      <c r="AD88" s="104">
        <v>150</v>
      </c>
      <c r="AE88" s="104"/>
      <c r="AF88" s="104"/>
      <c r="AG88" s="95"/>
      <c r="AH88" s="52">
        <f t="shared" si="12"/>
        <v>280</v>
      </c>
      <c r="AI88" s="53">
        <f t="shared" si="13"/>
        <v>50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" si="18">B87+B88</f>
        <v>1492.44</v>
      </c>
      <c r="C89" s="102">
        <f t="shared" ref="C89:AF89" si="19">C87+C88</f>
        <v>1443.44</v>
      </c>
      <c r="D89" s="102">
        <f t="shared" si="19"/>
        <v>1424.04</v>
      </c>
      <c r="E89" s="102">
        <f t="shared" si="19"/>
        <v>1312.54</v>
      </c>
      <c r="F89" s="102">
        <f t="shared" si="19"/>
        <v>1322.84</v>
      </c>
      <c r="G89" s="102">
        <f t="shared" si="19"/>
        <v>1293.74</v>
      </c>
      <c r="H89" s="102">
        <f t="shared" si="19"/>
        <v>1279.1399999999999</v>
      </c>
      <c r="I89" s="102">
        <f t="shared" si="19"/>
        <v>1276.04</v>
      </c>
      <c r="J89" s="102">
        <f t="shared" si="19"/>
        <v>1435.54</v>
      </c>
      <c r="K89" s="102">
        <f t="shared" si="19"/>
        <v>1455.54</v>
      </c>
      <c r="L89" s="102">
        <f t="shared" si="19"/>
        <v>1499.6399999999999</v>
      </c>
      <c r="M89" s="102">
        <f t="shared" si="19"/>
        <v>1525.44</v>
      </c>
      <c r="N89" s="102">
        <f t="shared" si="19"/>
        <v>1480.6399999999999</v>
      </c>
      <c r="O89" s="102">
        <f t="shared" si="19"/>
        <v>1413.24</v>
      </c>
      <c r="P89" s="102">
        <f t="shared" si="19"/>
        <v>1505.54</v>
      </c>
      <c r="Q89" s="102">
        <f t="shared" si="19"/>
        <v>1431.44</v>
      </c>
      <c r="R89" s="102">
        <f t="shared" si="19"/>
        <v>1527.04</v>
      </c>
      <c r="S89" s="102">
        <f t="shared" si="19"/>
        <v>1503.7399999999998</v>
      </c>
      <c r="T89" s="102">
        <f t="shared" si="19"/>
        <v>1481.54</v>
      </c>
      <c r="U89" s="102">
        <f t="shared" si="19"/>
        <v>1369.1399999999999</v>
      </c>
      <c r="V89" s="102">
        <f t="shared" si="19"/>
        <v>1351.7399999999998</v>
      </c>
      <c r="W89" s="102">
        <f t="shared" si="19"/>
        <v>1374.6399999999999</v>
      </c>
      <c r="X89" s="102">
        <f t="shared" si="19"/>
        <v>1379.54</v>
      </c>
      <c r="Y89" s="102">
        <f t="shared" si="19"/>
        <v>1453.3400000000001</v>
      </c>
      <c r="Z89" s="102">
        <f t="shared" si="19"/>
        <v>1508.6399999999999</v>
      </c>
      <c r="AA89" s="102">
        <f t="shared" si="19"/>
        <v>1384.8400000000001</v>
      </c>
      <c r="AB89" s="102">
        <f t="shared" si="19"/>
        <v>1407.44</v>
      </c>
      <c r="AC89" s="102">
        <f t="shared" si="19"/>
        <v>1427.94</v>
      </c>
      <c r="AD89" s="102">
        <f t="shared" si="19"/>
        <v>1448.94</v>
      </c>
      <c r="AE89" s="102">
        <f t="shared" si="19"/>
        <v>1371.74</v>
      </c>
      <c r="AF89" s="102">
        <f t="shared" si="19"/>
        <v>1333.24</v>
      </c>
      <c r="AG89" s="95">
        <f>AG86+AG82+AG70+AG66+AG48+AG88</f>
        <v>1526.99</v>
      </c>
      <c r="AH89" s="52">
        <f t="shared" si="12"/>
        <v>1527.04</v>
      </c>
      <c r="AI89" s="53">
        <f t="shared" si="13"/>
        <v>1276.04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" si="20">B89-B97</f>
        <v>1492.44</v>
      </c>
      <c r="C90" s="102">
        <f t="shared" ref="C90:AF90" si="21">C89-C97</f>
        <v>1443.44</v>
      </c>
      <c r="D90" s="102">
        <f t="shared" si="21"/>
        <v>1424.04</v>
      </c>
      <c r="E90" s="102">
        <f t="shared" si="21"/>
        <v>1312.54</v>
      </c>
      <c r="F90" s="102">
        <f t="shared" si="21"/>
        <v>1322.84</v>
      </c>
      <c r="G90" s="102">
        <f t="shared" si="21"/>
        <v>1293.74</v>
      </c>
      <c r="H90" s="102">
        <f t="shared" si="21"/>
        <v>1279.1399999999999</v>
      </c>
      <c r="I90" s="102">
        <f t="shared" si="21"/>
        <v>1276.04</v>
      </c>
      <c r="J90" s="102">
        <f t="shared" si="21"/>
        <v>1435.54</v>
      </c>
      <c r="K90" s="102">
        <f t="shared" si="21"/>
        <v>1455.54</v>
      </c>
      <c r="L90" s="102">
        <f t="shared" si="21"/>
        <v>1499.6399999999999</v>
      </c>
      <c r="M90" s="102">
        <f t="shared" si="21"/>
        <v>1525.44</v>
      </c>
      <c r="N90" s="102">
        <f t="shared" si="21"/>
        <v>1480.6399999999999</v>
      </c>
      <c r="O90" s="102">
        <f t="shared" si="21"/>
        <v>1413.24</v>
      </c>
      <c r="P90" s="102">
        <f t="shared" si="21"/>
        <v>1505.54</v>
      </c>
      <c r="Q90" s="102">
        <f t="shared" si="21"/>
        <v>1431.44</v>
      </c>
      <c r="R90" s="102">
        <f t="shared" si="21"/>
        <v>1527.04</v>
      </c>
      <c r="S90" s="102">
        <f t="shared" si="21"/>
        <v>1503.7399999999998</v>
      </c>
      <c r="T90" s="102">
        <f t="shared" si="21"/>
        <v>1481.54</v>
      </c>
      <c r="U90" s="102">
        <f t="shared" si="21"/>
        <v>1369.1399999999999</v>
      </c>
      <c r="V90" s="102">
        <f t="shared" si="21"/>
        <v>1351.7399999999998</v>
      </c>
      <c r="W90" s="102">
        <f t="shared" si="21"/>
        <v>1374.6399999999999</v>
      </c>
      <c r="X90" s="102">
        <f t="shared" si="21"/>
        <v>1379.54</v>
      </c>
      <c r="Y90" s="102">
        <f t="shared" si="21"/>
        <v>1453.3400000000001</v>
      </c>
      <c r="Z90" s="102">
        <v>1358.6399999999999</v>
      </c>
      <c r="AA90" s="102">
        <f t="shared" si="21"/>
        <v>1384.8400000000001</v>
      </c>
      <c r="AB90" s="102">
        <f t="shared" si="21"/>
        <v>1407.44</v>
      </c>
      <c r="AC90" s="102">
        <f t="shared" si="21"/>
        <v>1427.94</v>
      </c>
      <c r="AD90" s="102">
        <f t="shared" si="21"/>
        <v>1448.94</v>
      </c>
      <c r="AE90" s="102">
        <f t="shared" si="21"/>
        <v>1371.74</v>
      </c>
      <c r="AF90" s="102">
        <f t="shared" si="21"/>
        <v>1333.24</v>
      </c>
      <c r="AG90" s="95"/>
      <c r="AH90" s="52">
        <f t="shared" si="12"/>
        <v>1527.04</v>
      </c>
      <c r="AI90" s="53">
        <f t="shared" si="13"/>
        <v>1276.04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2"/>
        <v>0</v>
      </c>
      <c r="AI91" s="53">
        <f t="shared" si="13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2"/>
        <v>0</v>
      </c>
      <c r="AI92" s="53">
        <f t="shared" si="13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2"/>
        <v>0</v>
      </c>
      <c r="AI93" s="53">
        <f t="shared" si="13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2"/>
        <v>0</v>
      </c>
      <c r="AI94" s="53">
        <f t="shared" si="13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2"/>
        <v>0</v>
      </c>
      <c r="AI95" s="53">
        <f t="shared" si="13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2"/>
        <v>0</v>
      </c>
      <c r="AI96" s="53">
        <f t="shared" si="13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2"/>
        <v>0</v>
      </c>
      <c r="AI97" s="53">
        <f t="shared" si="13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" si="22">B82-B97</f>
        <v>395.4</v>
      </c>
      <c r="C98" s="67">
        <f t="shared" ref="C98:AF98" si="23">C82-C97</f>
        <v>395.8</v>
      </c>
      <c r="D98" s="67">
        <f t="shared" si="23"/>
        <v>436.79999999999995</v>
      </c>
      <c r="E98" s="67">
        <f t="shared" si="23"/>
        <v>591.19999999999993</v>
      </c>
      <c r="F98" s="67">
        <f t="shared" si="23"/>
        <v>629.9</v>
      </c>
      <c r="G98" s="67">
        <f t="shared" si="23"/>
        <v>601.4</v>
      </c>
      <c r="H98" s="67">
        <f t="shared" si="23"/>
        <v>616.29999999999995</v>
      </c>
      <c r="I98" s="67">
        <f t="shared" si="23"/>
        <v>622.20000000000005</v>
      </c>
      <c r="J98" s="67">
        <f t="shared" si="23"/>
        <v>603.69999999999993</v>
      </c>
      <c r="K98" s="67">
        <f t="shared" si="23"/>
        <v>651</v>
      </c>
      <c r="L98" s="67">
        <f t="shared" si="23"/>
        <v>695.19999999999993</v>
      </c>
      <c r="M98" s="67">
        <f t="shared" si="23"/>
        <v>720.40000000000009</v>
      </c>
      <c r="N98" s="67">
        <f t="shared" si="23"/>
        <v>675.6</v>
      </c>
      <c r="O98" s="67">
        <f t="shared" si="23"/>
        <v>609.80000000000007</v>
      </c>
      <c r="P98" s="67">
        <f t="shared" si="23"/>
        <v>659.80000000000007</v>
      </c>
      <c r="Q98" s="67">
        <f t="shared" si="23"/>
        <v>491.7</v>
      </c>
      <c r="R98" s="67">
        <f t="shared" si="23"/>
        <v>678.7</v>
      </c>
      <c r="S98" s="67">
        <f t="shared" si="23"/>
        <v>684.09999999999991</v>
      </c>
      <c r="T98" s="67">
        <f t="shared" si="23"/>
        <v>674.09999999999991</v>
      </c>
      <c r="U98" s="67">
        <f t="shared" si="23"/>
        <v>599</v>
      </c>
      <c r="V98" s="67">
        <f t="shared" si="23"/>
        <v>544.79999999999995</v>
      </c>
      <c r="W98" s="67">
        <f t="shared" si="23"/>
        <v>534.4</v>
      </c>
      <c r="X98" s="67">
        <f t="shared" si="23"/>
        <v>500.40000000000003</v>
      </c>
      <c r="Y98" s="67">
        <f t="shared" si="23"/>
        <v>538.4</v>
      </c>
      <c r="Z98" s="67">
        <v>571.4</v>
      </c>
      <c r="AA98" s="67">
        <f t="shared" si="23"/>
        <v>347</v>
      </c>
      <c r="AB98" s="67">
        <f t="shared" si="23"/>
        <v>360</v>
      </c>
      <c r="AC98" s="67">
        <f t="shared" si="23"/>
        <v>336</v>
      </c>
      <c r="AD98" s="67">
        <f t="shared" si="23"/>
        <v>325</v>
      </c>
      <c r="AE98" s="67">
        <f t="shared" si="23"/>
        <v>297</v>
      </c>
      <c r="AF98" s="67">
        <f t="shared" si="23"/>
        <v>295</v>
      </c>
      <c r="AG98" s="95"/>
      <c r="AH98" s="52">
        <f t="shared" si="12"/>
        <v>720.40000000000009</v>
      </c>
      <c r="AI98" s="53">
        <f t="shared" si="13"/>
        <v>295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49.97</v>
      </c>
      <c r="C99" s="108">
        <v>49.93</v>
      </c>
      <c r="D99" s="108">
        <v>50.04</v>
      </c>
      <c r="E99" s="108">
        <v>50.040999999999997</v>
      </c>
      <c r="F99" s="108">
        <v>49.996000000000002</v>
      </c>
      <c r="G99" s="108">
        <v>50.11</v>
      </c>
      <c r="H99" s="108">
        <v>49.997999999999998</v>
      </c>
      <c r="I99" s="108">
        <v>49.920999999999999</v>
      </c>
      <c r="J99" s="108">
        <v>50.076000000000001</v>
      </c>
      <c r="K99" s="108">
        <v>50.024999999999999</v>
      </c>
      <c r="L99" s="108">
        <v>50.027000000000001</v>
      </c>
      <c r="M99" s="108">
        <v>50.084000000000003</v>
      </c>
      <c r="N99" s="108">
        <v>50.082999999999998</v>
      </c>
      <c r="O99" s="108">
        <v>49.948</v>
      </c>
      <c r="P99" s="108">
        <v>49.948</v>
      </c>
      <c r="Q99" s="108">
        <v>49.948</v>
      </c>
      <c r="R99" s="108">
        <v>49.957999999999998</v>
      </c>
      <c r="S99" s="108">
        <v>49.957999999999998</v>
      </c>
      <c r="T99" s="108">
        <v>49.505000000000003</v>
      </c>
      <c r="U99" s="108">
        <v>49.505000000000003</v>
      </c>
      <c r="V99" s="108">
        <v>50.104599999999998</v>
      </c>
      <c r="W99" s="108">
        <v>50.003999999999998</v>
      </c>
      <c r="X99" s="108">
        <v>50.058999999999997</v>
      </c>
      <c r="Y99" s="108">
        <v>50.058999999999997</v>
      </c>
      <c r="Z99" s="108">
        <v>50.058999999999997</v>
      </c>
      <c r="AA99" s="108">
        <v>49.972000000000001</v>
      </c>
      <c r="AB99" s="108">
        <v>50.088999999999999</v>
      </c>
      <c r="AC99" s="108">
        <v>49.938000000000002</v>
      </c>
      <c r="AD99" s="108">
        <v>50.015999999999998</v>
      </c>
      <c r="AE99" s="108">
        <v>50.073999999999998</v>
      </c>
      <c r="AF99" s="108">
        <v>50.015000000000001</v>
      </c>
      <c r="AG99" s="109"/>
      <c r="AH99" s="52">
        <f t="shared" si="12"/>
        <v>50.11</v>
      </c>
      <c r="AI99" s="53">
        <f t="shared" si="13"/>
        <v>49.505000000000003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129.80000000000001</v>
      </c>
      <c r="C100" s="72">
        <v>130</v>
      </c>
      <c r="D100" s="72">
        <v>130.6</v>
      </c>
      <c r="E100" s="72">
        <v>126.8</v>
      </c>
      <c r="F100" s="72">
        <v>126.2</v>
      </c>
      <c r="G100" s="72">
        <v>127.7</v>
      </c>
      <c r="H100" s="72">
        <v>128.4</v>
      </c>
      <c r="I100" s="72">
        <v>127.8</v>
      </c>
      <c r="J100" s="72">
        <v>126.2</v>
      </c>
      <c r="K100" s="72">
        <v>126.2</v>
      </c>
      <c r="L100" s="72">
        <v>124.7</v>
      </c>
      <c r="M100" s="72">
        <v>124.4</v>
      </c>
      <c r="N100" s="72">
        <v>125.4</v>
      </c>
      <c r="O100" s="72">
        <v>125.4</v>
      </c>
      <c r="P100" s="72">
        <v>129.9</v>
      </c>
      <c r="Q100" s="72">
        <v>129.9</v>
      </c>
      <c r="R100" s="72">
        <v>125.6</v>
      </c>
      <c r="S100" s="72">
        <v>125.6</v>
      </c>
      <c r="T100" s="72">
        <v>125.6</v>
      </c>
      <c r="U100" s="72">
        <v>125.6</v>
      </c>
      <c r="V100" s="72">
        <v>128.5</v>
      </c>
      <c r="W100" s="72">
        <v>128.5</v>
      </c>
      <c r="X100" s="72">
        <v>128.5</v>
      </c>
      <c r="Y100" s="72">
        <v>128.5</v>
      </c>
      <c r="Z100" s="72">
        <v>125.3</v>
      </c>
      <c r="AA100" s="72">
        <v>127.7</v>
      </c>
      <c r="AB100" s="72">
        <v>128.19999999999999</v>
      </c>
      <c r="AC100" s="72">
        <v>127</v>
      </c>
      <c r="AD100" s="72">
        <v>127.1</v>
      </c>
      <c r="AE100" s="72">
        <v>125</v>
      </c>
      <c r="AF100" s="72">
        <v>126.6</v>
      </c>
      <c r="AG100" s="111"/>
      <c r="AH100" s="52">
        <f t="shared" si="12"/>
        <v>130.6</v>
      </c>
      <c r="AI100" s="53">
        <f t="shared" si="13"/>
        <v>124.4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132.6</v>
      </c>
      <c r="C101" s="72">
        <v>132.69999999999999</v>
      </c>
      <c r="D101" s="72">
        <v>133.30000000000001</v>
      </c>
      <c r="E101" s="72">
        <v>130.69999999999999</v>
      </c>
      <c r="F101" s="72">
        <v>130.4</v>
      </c>
      <c r="G101" s="72">
        <v>131.30000000000001</v>
      </c>
      <c r="H101" s="72">
        <v>131.30000000000001</v>
      </c>
      <c r="I101" s="72">
        <v>130.6</v>
      </c>
      <c r="J101" s="72">
        <v>128.5</v>
      </c>
      <c r="K101" s="72">
        <v>128.5</v>
      </c>
      <c r="L101" s="72">
        <v>127</v>
      </c>
      <c r="M101" s="72">
        <v>126.8</v>
      </c>
      <c r="N101" s="72">
        <v>127.9</v>
      </c>
      <c r="O101" s="72">
        <v>127.9</v>
      </c>
      <c r="P101" s="72">
        <v>131.19999999999999</v>
      </c>
      <c r="Q101" s="72">
        <v>131.19999999999999</v>
      </c>
      <c r="R101" s="72">
        <v>129.19999999999999</v>
      </c>
      <c r="S101" s="72">
        <v>129.19999999999999</v>
      </c>
      <c r="T101" s="72">
        <v>129.19999999999999</v>
      </c>
      <c r="U101" s="72">
        <v>129.19999999999999</v>
      </c>
      <c r="V101" s="72">
        <v>130.80000000000001</v>
      </c>
      <c r="W101" s="72">
        <v>130.80000000000001</v>
      </c>
      <c r="X101" s="72">
        <v>130.80000000000001</v>
      </c>
      <c r="Y101" s="72">
        <v>130.80000000000001</v>
      </c>
      <c r="Z101" s="72">
        <v>128.1</v>
      </c>
      <c r="AA101" s="72">
        <v>130.4</v>
      </c>
      <c r="AB101" s="72">
        <v>130.9</v>
      </c>
      <c r="AC101" s="72">
        <v>130.19999999999999</v>
      </c>
      <c r="AD101" s="72">
        <v>130.6</v>
      </c>
      <c r="AE101" s="72">
        <v>130.30000000000001</v>
      </c>
      <c r="AF101" s="72">
        <v>131</v>
      </c>
      <c r="AG101" s="111"/>
      <c r="AH101" s="52">
        <f t="shared" si="12"/>
        <v>133.30000000000001</v>
      </c>
      <c r="AI101" s="53">
        <f t="shared" si="13"/>
        <v>126.8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128.6</v>
      </c>
      <c r="C102" s="72">
        <v>129.5</v>
      </c>
      <c r="D102" s="72">
        <v>130.4</v>
      </c>
      <c r="E102" s="72">
        <v>129.1</v>
      </c>
      <c r="F102" s="72">
        <v>127.5</v>
      </c>
      <c r="G102" s="72">
        <v>129.4</v>
      </c>
      <c r="H102" s="72">
        <v>129.80000000000001</v>
      </c>
      <c r="I102" s="72">
        <v>128.19999999999999</v>
      </c>
      <c r="J102" s="72">
        <v>124.5</v>
      </c>
      <c r="K102" s="72">
        <v>123</v>
      </c>
      <c r="L102" s="72">
        <v>127.1</v>
      </c>
      <c r="M102" s="72">
        <v>125.4</v>
      </c>
      <c r="N102" s="72">
        <v>126.3</v>
      </c>
      <c r="O102" s="72">
        <v>126.3</v>
      </c>
      <c r="P102" s="72">
        <v>131.9</v>
      </c>
      <c r="Q102" s="72">
        <v>131.9</v>
      </c>
      <c r="R102" s="72">
        <v>127.1</v>
      </c>
      <c r="S102" s="72">
        <v>127.1</v>
      </c>
      <c r="T102" s="72">
        <v>127.1</v>
      </c>
      <c r="U102" s="72">
        <v>127.1</v>
      </c>
      <c r="V102" s="72">
        <v>130</v>
      </c>
      <c r="W102" s="72">
        <v>130</v>
      </c>
      <c r="X102" s="72">
        <v>130</v>
      </c>
      <c r="Y102" s="72">
        <v>130</v>
      </c>
      <c r="Z102" s="72">
        <v>132.30000000000001</v>
      </c>
      <c r="AA102" s="72">
        <v>136.69999999999999</v>
      </c>
      <c r="AB102" s="72">
        <v>128.5</v>
      </c>
      <c r="AC102" s="72">
        <v>126.7</v>
      </c>
      <c r="AD102" s="72">
        <v>128.30000000000001</v>
      </c>
      <c r="AE102" s="72">
        <v>127.3</v>
      </c>
      <c r="AF102" s="72">
        <v>130</v>
      </c>
      <c r="AG102" s="111"/>
      <c r="AH102" s="52">
        <f t="shared" si="12"/>
        <v>136.69999999999999</v>
      </c>
      <c r="AI102" s="53">
        <f t="shared" si="13"/>
        <v>123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2"/>
        <v>0</v>
      </c>
      <c r="AI103" s="53">
        <f t="shared" si="13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131.69999999999999</v>
      </c>
      <c r="C104" s="113">
        <v>132.19999999999999</v>
      </c>
      <c r="D104" s="113">
        <v>133.5</v>
      </c>
      <c r="E104" s="113">
        <v>129.4</v>
      </c>
      <c r="F104" s="113">
        <v>127.2</v>
      </c>
      <c r="G104" s="113">
        <v>133.80000000000001</v>
      </c>
      <c r="H104" s="113">
        <v>134</v>
      </c>
      <c r="I104" s="113">
        <v>134.30000000000001</v>
      </c>
      <c r="J104" s="113">
        <v>131</v>
      </c>
      <c r="K104" s="113">
        <v>131</v>
      </c>
      <c r="L104" s="113">
        <v>128</v>
      </c>
      <c r="M104" s="113">
        <v>127.7</v>
      </c>
      <c r="N104" s="113">
        <v>127.3</v>
      </c>
      <c r="O104" s="113">
        <v>127.3</v>
      </c>
      <c r="P104" s="113">
        <v>135.1</v>
      </c>
      <c r="Q104" s="113">
        <v>135.1</v>
      </c>
      <c r="R104" s="113">
        <v>134.1</v>
      </c>
      <c r="S104" s="113">
        <v>134.1</v>
      </c>
      <c r="T104" s="113">
        <v>134.1</v>
      </c>
      <c r="U104" s="113">
        <v>134.1</v>
      </c>
      <c r="V104" s="113">
        <v>132.80000000000001</v>
      </c>
      <c r="W104" s="113">
        <v>132.80000000000001</v>
      </c>
      <c r="X104" s="113">
        <v>132.80000000000001</v>
      </c>
      <c r="Y104" s="113">
        <v>132.80000000000001</v>
      </c>
      <c r="Z104" s="113">
        <v>132.6</v>
      </c>
      <c r="AA104" s="113">
        <v>137.5</v>
      </c>
      <c r="AB104" s="113">
        <v>133.4</v>
      </c>
      <c r="AC104" s="113">
        <v>129.80000000000001</v>
      </c>
      <c r="AD104" s="113">
        <v>134</v>
      </c>
      <c r="AE104" s="113">
        <v>133.69999999999999</v>
      </c>
      <c r="AF104" s="113">
        <v>129</v>
      </c>
      <c r="AG104" s="114"/>
      <c r="AH104" s="52">
        <f t="shared" si="12"/>
        <v>137.5</v>
      </c>
      <c r="AI104" s="53">
        <f t="shared" si="13"/>
        <v>127.2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128</v>
      </c>
      <c r="C105" s="72">
        <v>129.69999999999999</v>
      </c>
      <c r="D105" s="72">
        <v>133.69999999999999</v>
      </c>
      <c r="E105" s="72">
        <v>124.7</v>
      </c>
      <c r="F105" s="72">
        <v>127.1</v>
      </c>
      <c r="G105" s="72">
        <v>130.4</v>
      </c>
      <c r="H105" s="72">
        <v>128.5</v>
      </c>
      <c r="I105" s="72">
        <v>128.30000000000001</v>
      </c>
      <c r="J105" s="72">
        <v>128.69999999999999</v>
      </c>
      <c r="K105" s="72">
        <v>128.69999999999999</v>
      </c>
      <c r="L105" s="72">
        <v>127</v>
      </c>
      <c r="M105" s="72">
        <v>129.4</v>
      </c>
      <c r="N105" s="72">
        <v>134.4</v>
      </c>
      <c r="O105" s="72">
        <v>134.4</v>
      </c>
      <c r="P105" s="72">
        <v>127.2</v>
      </c>
      <c r="Q105" s="72">
        <v>127.2</v>
      </c>
      <c r="R105" s="72">
        <v>135.6</v>
      </c>
      <c r="S105" s="72">
        <v>135.6</v>
      </c>
      <c r="T105" s="72">
        <v>135.6</v>
      </c>
      <c r="U105" s="72">
        <v>135.6</v>
      </c>
      <c r="V105" s="72">
        <v>130.9</v>
      </c>
      <c r="W105" s="72">
        <v>130.9</v>
      </c>
      <c r="X105" s="72">
        <v>130.9</v>
      </c>
      <c r="Y105" s="72">
        <v>130.9</v>
      </c>
      <c r="Z105" s="72">
        <v>128.1</v>
      </c>
      <c r="AA105" s="72">
        <v>130.69999999999999</v>
      </c>
      <c r="AB105" s="72">
        <v>132.9</v>
      </c>
      <c r="AC105" s="72">
        <v>130.9</v>
      </c>
      <c r="AD105" s="72">
        <v>134</v>
      </c>
      <c r="AE105" s="72">
        <v>129.4</v>
      </c>
      <c r="AF105" s="72">
        <v>129</v>
      </c>
      <c r="AG105" s="111"/>
      <c r="AH105" s="52">
        <f t="shared" si="12"/>
        <v>135.6</v>
      </c>
      <c r="AI105" s="53">
        <f t="shared" si="13"/>
        <v>124.7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66.099999999999994</v>
      </c>
      <c r="C106" s="99">
        <v>66.2</v>
      </c>
      <c r="D106" s="99">
        <v>66.400000000000006</v>
      </c>
      <c r="E106" s="99">
        <v>65.5</v>
      </c>
      <c r="F106" s="99">
        <v>65.3</v>
      </c>
      <c r="G106" s="99">
        <v>65.5</v>
      </c>
      <c r="H106" s="99">
        <v>65.5</v>
      </c>
      <c r="I106" s="99">
        <v>65.5</v>
      </c>
      <c r="J106" s="99">
        <v>64.599999999999994</v>
      </c>
      <c r="K106" s="99">
        <v>63.6</v>
      </c>
      <c r="L106" s="99">
        <v>63.7</v>
      </c>
      <c r="M106" s="99">
        <v>63.8</v>
      </c>
      <c r="N106" s="99">
        <v>64.099999999999994</v>
      </c>
      <c r="O106" s="99">
        <v>64.099999999999994</v>
      </c>
      <c r="P106" s="99">
        <v>65.5</v>
      </c>
      <c r="Q106" s="99">
        <v>65.5</v>
      </c>
      <c r="R106" s="99">
        <v>64.5</v>
      </c>
      <c r="S106" s="99">
        <v>64.5</v>
      </c>
      <c r="T106" s="99">
        <v>64.5</v>
      </c>
      <c r="U106" s="99">
        <v>64.5</v>
      </c>
      <c r="V106" s="99">
        <v>65</v>
      </c>
      <c r="W106" s="99">
        <v>65</v>
      </c>
      <c r="X106" s="99">
        <v>65</v>
      </c>
      <c r="Y106" s="99">
        <v>65</v>
      </c>
      <c r="Z106" s="99">
        <v>63.9</v>
      </c>
      <c r="AA106" s="99">
        <v>65.099999999999994</v>
      </c>
      <c r="AB106" s="99">
        <v>65.5</v>
      </c>
      <c r="AC106" s="99">
        <v>65.099999999999994</v>
      </c>
      <c r="AD106" s="99">
        <v>65.400000000000006</v>
      </c>
      <c r="AE106" s="99">
        <v>65.5</v>
      </c>
      <c r="AF106" s="99">
        <v>66</v>
      </c>
      <c r="AG106" s="115"/>
      <c r="AH106" s="52">
        <f t="shared" si="12"/>
        <v>66.400000000000006</v>
      </c>
      <c r="AI106" s="53">
        <f t="shared" si="13"/>
        <v>63.6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2"/>
        <v>0</v>
      </c>
      <c r="AI107" s="53">
        <f t="shared" si="13"/>
        <v>0</v>
      </c>
    </row>
    <row r="108" spans="1:88" ht="15.75" thickBot="1" x14ac:dyDescent="0.3">
      <c r="A108" s="117" t="s">
        <v>116</v>
      </c>
      <c r="B108" s="118">
        <f t="shared" ref="B108" si="24">SUM(B18,B24,B27:B28,B56,B58:B59,B61,B63,B109:B113,B135,B141,B147,B156,B158,B170,B177,B180:B181,B188,B190,B192,B196:B198,B200:B202,B207,B213:B214,B216:B218,B226,B231)</f>
        <v>131.59999999999997</v>
      </c>
      <c r="C108" s="118">
        <f t="shared" ref="C108:AF108" si="25">SUM(C18,C24,C27:C28,C56,C58:C59,C61,C63,C109:C113,C135,C141,C147,C156,C158,C170,C177,C180:C181,C188,C190,C192,C196:C198,C200:C202,C207,C213:C214,C216:C218,C226,C231)</f>
        <v>120.54</v>
      </c>
      <c r="D108" s="118">
        <f t="shared" si="25"/>
        <v>118.44</v>
      </c>
      <c r="E108" s="118">
        <f t="shared" si="25"/>
        <v>100.53999999999999</v>
      </c>
      <c r="F108" s="118">
        <f t="shared" si="25"/>
        <v>84.740000000000009</v>
      </c>
      <c r="G108" s="118">
        <f t="shared" si="25"/>
        <v>115.04</v>
      </c>
      <c r="H108" s="118">
        <f t="shared" si="25"/>
        <v>133.04</v>
      </c>
      <c r="I108" s="118">
        <f t="shared" si="25"/>
        <v>175.24</v>
      </c>
      <c r="J108" s="118">
        <f t="shared" si="25"/>
        <v>212.44</v>
      </c>
      <c r="K108" s="118">
        <f t="shared" si="25"/>
        <v>222.84</v>
      </c>
      <c r="L108" s="118">
        <f t="shared" si="25"/>
        <v>241.34</v>
      </c>
      <c r="M108" s="118">
        <f t="shared" si="25"/>
        <v>244.04000000000002</v>
      </c>
      <c r="N108" s="118">
        <f t="shared" si="25"/>
        <v>277.33999999999997</v>
      </c>
      <c r="O108" s="118">
        <f t="shared" si="25"/>
        <v>312.83999999999997</v>
      </c>
      <c r="P108" s="118">
        <v>42</v>
      </c>
      <c r="Q108" s="118">
        <f t="shared" si="25"/>
        <v>266.8</v>
      </c>
      <c r="R108" s="118">
        <f t="shared" si="25"/>
        <v>265.3</v>
      </c>
      <c r="S108" s="118">
        <f t="shared" si="25"/>
        <v>253.50000000000003</v>
      </c>
      <c r="T108" s="118">
        <f t="shared" si="25"/>
        <v>253.50000000000003</v>
      </c>
      <c r="U108" s="118">
        <f t="shared" si="25"/>
        <v>227.29999999999998</v>
      </c>
      <c r="V108" s="118">
        <f t="shared" si="25"/>
        <v>202</v>
      </c>
      <c r="W108" s="118">
        <f t="shared" si="25"/>
        <v>202</v>
      </c>
      <c r="X108" s="118">
        <f t="shared" si="25"/>
        <v>202</v>
      </c>
      <c r="Y108" s="118">
        <f t="shared" si="25"/>
        <v>205.3</v>
      </c>
      <c r="Z108" s="118">
        <v>402.29708333333332</v>
      </c>
      <c r="AA108" s="118">
        <f t="shared" si="25"/>
        <v>299.79999999999995</v>
      </c>
      <c r="AB108" s="118">
        <f t="shared" si="25"/>
        <v>275</v>
      </c>
      <c r="AC108" s="118">
        <f t="shared" si="25"/>
        <v>247.39999999999998</v>
      </c>
      <c r="AD108" s="118">
        <f t="shared" si="25"/>
        <v>225.7</v>
      </c>
      <c r="AE108" s="118">
        <f t="shared" si="25"/>
        <v>228.7</v>
      </c>
      <c r="AF108" s="118">
        <f t="shared" si="25"/>
        <v>148</v>
      </c>
      <c r="AG108" s="119"/>
      <c r="AH108" s="52">
        <f t="shared" si="12"/>
        <v>402.29708333333332</v>
      </c>
      <c r="AI108" s="53">
        <f t="shared" si="13"/>
        <v>42</v>
      </c>
    </row>
    <row r="109" spans="1:88" x14ac:dyDescent="0.25">
      <c r="A109" s="107" t="s">
        <v>117</v>
      </c>
      <c r="B109" s="120">
        <v>-10</v>
      </c>
      <c r="C109" s="120">
        <v>-20.9</v>
      </c>
      <c r="D109" s="120">
        <v>-17.3</v>
      </c>
      <c r="E109" s="120">
        <v>-24.3</v>
      </c>
      <c r="F109" s="120">
        <v>-23.9</v>
      </c>
      <c r="G109" s="120">
        <v>-17.8</v>
      </c>
      <c r="H109" s="120">
        <v>-17.8</v>
      </c>
      <c r="I109" s="120">
        <v>-14.5</v>
      </c>
      <c r="J109" s="120">
        <v>-10.199999999999999</v>
      </c>
      <c r="K109" s="120">
        <v>-10.199999999999999</v>
      </c>
      <c r="L109" s="120">
        <v>-7.8</v>
      </c>
      <c r="M109" s="120">
        <v>-5.0999999999999996</v>
      </c>
      <c r="N109" s="120">
        <v>-8.8000000000000007</v>
      </c>
      <c r="O109" s="120">
        <v>26.7</v>
      </c>
      <c r="P109" s="120">
        <v>26.7</v>
      </c>
      <c r="Q109" s="120">
        <v>26.7</v>
      </c>
      <c r="R109" s="120">
        <v>24.2</v>
      </c>
      <c r="S109" s="120">
        <v>21.9</v>
      </c>
      <c r="T109" s="120">
        <v>21.9</v>
      </c>
      <c r="U109" s="120">
        <v>12.5</v>
      </c>
      <c r="V109" s="120">
        <v>-1.3</v>
      </c>
      <c r="W109" s="120">
        <v>-1.3</v>
      </c>
      <c r="X109" s="120">
        <v>-1.3</v>
      </c>
      <c r="Y109" s="120">
        <v>-1.3</v>
      </c>
      <c r="Z109" s="120">
        <v>20.399999999999999</v>
      </c>
      <c r="AA109" s="120">
        <v>24.6</v>
      </c>
      <c r="AB109" s="120">
        <v>21.1</v>
      </c>
      <c r="AC109" s="120">
        <v>6.6</v>
      </c>
      <c r="AD109" s="120">
        <v>3.3</v>
      </c>
      <c r="AE109" s="120">
        <v>3.3</v>
      </c>
      <c r="AF109" s="120">
        <v>-8</v>
      </c>
      <c r="AG109" s="121">
        <v>75</v>
      </c>
      <c r="AH109" s="52">
        <f t="shared" si="12"/>
        <v>26.7</v>
      </c>
      <c r="AI109" s="53">
        <f t="shared" si="13"/>
        <v>-24.3</v>
      </c>
    </row>
    <row r="110" spans="1:88" x14ac:dyDescent="0.25">
      <c r="A110" s="110" t="s">
        <v>118</v>
      </c>
      <c r="B110" s="122">
        <v>-8.4</v>
      </c>
      <c r="C110" s="122">
        <v>-23.6</v>
      </c>
      <c r="D110" s="122">
        <v>-18.7</v>
      </c>
      <c r="E110" s="122">
        <v>-29.1</v>
      </c>
      <c r="F110" s="122">
        <v>-28.5</v>
      </c>
      <c r="G110" s="122">
        <v>-22.4</v>
      </c>
      <c r="H110" s="122">
        <v>-21.1</v>
      </c>
      <c r="I110" s="122">
        <v>-19.2</v>
      </c>
      <c r="J110" s="122">
        <v>-11.6</v>
      </c>
      <c r="K110" s="122">
        <v>-11.6</v>
      </c>
      <c r="L110" s="122">
        <v>-12.8</v>
      </c>
      <c r="M110" s="122">
        <v>-10</v>
      </c>
      <c r="N110" s="122">
        <v>-13.9</v>
      </c>
      <c r="O110" s="122">
        <v>-13.9</v>
      </c>
      <c r="P110" s="122">
        <v>39.9</v>
      </c>
      <c r="Q110" s="122">
        <v>39.9</v>
      </c>
      <c r="R110" s="122">
        <v>36.5</v>
      </c>
      <c r="S110" s="122">
        <v>20.8</v>
      </c>
      <c r="T110" s="122">
        <v>20.8</v>
      </c>
      <c r="U110" s="122">
        <v>18.2</v>
      </c>
      <c r="V110" s="122">
        <v>-4.7</v>
      </c>
      <c r="W110" s="122">
        <v>-4.7</v>
      </c>
      <c r="X110" s="122">
        <v>-4.7</v>
      </c>
      <c r="Y110" s="122">
        <v>-4.7</v>
      </c>
      <c r="Z110" s="122">
        <v>24.2</v>
      </c>
      <c r="AA110" s="122">
        <v>33.4</v>
      </c>
      <c r="AB110" s="122">
        <v>26.8</v>
      </c>
      <c r="AC110" s="122">
        <v>6.3</v>
      </c>
      <c r="AD110" s="122">
        <v>2.9</v>
      </c>
      <c r="AE110" s="122">
        <v>2.9</v>
      </c>
      <c r="AF110" s="122">
        <v>-9</v>
      </c>
      <c r="AG110" s="121">
        <v>240</v>
      </c>
      <c r="AH110" s="52">
        <f t="shared" si="12"/>
        <v>39.9</v>
      </c>
      <c r="AI110" s="53">
        <f t="shared" si="13"/>
        <v>-29.1</v>
      </c>
    </row>
    <row r="111" spans="1:88" x14ac:dyDescent="0.25">
      <c r="A111" s="110" t="s">
        <v>119</v>
      </c>
      <c r="B111" s="122">
        <f>-9.3-19.3</f>
        <v>-28.6</v>
      </c>
      <c r="C111" s="122">
        <f>-5.5-15.5</f>
        <v>-21</v>
      </c>
      <c r="D111" s="122">
        <f>-7.1-16.9</f>
        <v>-24</v>
      </c>
      <c r="E111" s="122">
        <v>-59.1</v>
      </c>
      <c r="F111" s="122">
        <v>-74</v>
      </c>
      <c r="G111" s="122">
        <v>-61</v>
      </c>
      <c r="H111" s="122">
        <v>-45.8</v>
      </c>
      <c r="I111" s="122">
        <v>-28.6</v>
      </c>
      <c r="J111" s="122">
        <v>-15</v>
      </c>
      <c r="K111" s="122">
        <v>-15</v>
      </c>
      <c r="L111" s="122">
        <v>-5.4</v>
      </c>
      <c r="M111" s="122">
        <v>-4</v>
      </c>
      <c r="N111" s="122">
        <v>39</v>
      </c>
      <c r="O111" s="122">
        <v>39</v>
      </c>
      <c r="P111" s="122">
        <f t="shared" ref="P111:Q111" si="26">9.5+3.5</f>
        <v>13</v>
      </c>
      <c r="Q111" s="122">
        <f t="shared" si="26"/>
        <v>13</v>
      </c>
      <c r="R111" s="122">
        <v>-14</v>
      </c>
      <c r="S111" s="122">
        <v>-11.6</v>
      </c>
      <c r="T111" s="122">
        <v>-11.6</v>
      </c>
      <c r="U111" s="122">
        <v>-12.8</v>
      </c>
      <c r="V111" s="122">
        <v>4.8</v>
      </c>
      <c r="W111" s="122">
        <v>4.8</v>
      </c>
      <c r="X111" s="122">
        <v>4.8</v>
      </c>
      <c r="Y111" s="122">
        <v>4.8</v>
      </c>
      <c r="Z111" s="122">
        <v>28.5</v>
      </c>
      <c r="AA111" s="122">
        <v>14.6</v>
      </c>
      <c r="AB111" s="122">
        <v>6</v>
      </c>
      <c r="AC111" s="122">
        <v>5</v>
      </c>
      <c r="AD111" s="122">
        <v>-11</v>
      </c>
      <c r="AE111" s="122">
        <v>-11</v>
      </c>
      <c r="AF111" s="122">
        <v>-50</v>
      </c>
      <c r="AG111" s="121">
        <v>240</v>
      </c>
      <c r="AH111" s="52">
        <f t="shared" si="12"/>
        <v>39</v>
      </c>
      <c r="AI111" s="53">
        <f t="shared" si="13"/>
        <v>-74</v>
      </c>
    </row>
    <row r="112" spans="1:88" x14ac:dyDescent="0.25">
      <c r="A112" s="110" t="s">
        <v>120</v>
      </c>
      <c r="B112" s="122">
        <v>35.4</v>
      </c>
      <c r="C112" s="122">
        <v>35</v>
      </c>
      <c r="D112" s="122">
        <v>32.700000000000003</v>
      </c>
      <c r="E112" s="122">
        <v>27.6</v>
      </c>
      <c r="F112" s="122">
        <v>33.4</v>
      </c>
      <c r="G112" s="122">
        <v>33.6</v>
      </c>
      <c r="H112" s="122">
        <v>36.299999999999997</v>
      </c>
      <c r="I112" s="122">
        <v>38.799999999999997</v>
      </c>
      <c r="J112" s="122">
        <v>42.5</v>
      </c>
      <c r="K112" s="122">
        <v>42.5</v>
      </c>
      <c r="L112" s="122">
        <v>47.1</v>
      </c>
      <c r="M112" s="122">
        <v>44.3</v>
      </c>
      <c r="N112" s="122">
        <v>46.9</v>
      </c>
      <c r="O112" s="122">
        <v>46.9</v>
      </c>
      <c r="P112" s="122">
        <v>36.6</v>
      </c>
      <c r="Q112" s="122">
        <v>36.6</v>
      </c>
      <c r="R112" s="122">
        <v>35.1</v>
      </c>
      <c r="S112" s="122">
        <v>35.200000000000003</v>
      </c>
      <c r="T112" s="122">
        <v>35.200000000000003</v>
      </c>
      <c r="U112" s="122">
        <v>22.2</v>
      </c>
      <c r="V112" s="122">
        <v>29.1</v>
      </c>
      <c r="W112" s="122">
        <v>29.1</v>
      </c>
      <c r="X112" s="122">
        <v>29.1</v>
      </c>
      <c r="Y112" s="122">
        <v>29.1</v>
      </c>
      <c r="Z112" s="122">
        <v>44.5</v>
      </c>
      <c r="AA112" s="122">
        <v>43.8</v>
      </c>
      <c r="AB112" s="122">
        <v>41</v>
      </c>
      <c r="AC112" s="122">
        <v>38</v>
      </c>
      <c r="AD112" s="122">
        <v>34</v>
      </c>
      <c r="AE112" s="122">
        <v>34</v>
      </c>
      <c r="AF112" s="122">
        <v>37</v>
      </c>
      <c r="AG112" s="121">
        <v>60</v>
      </c>
      <c r="AH112" s="52">
        <f t="shared" si="12"/>
        <v>47.1</v>
      </c>
      <c r="AI112" s="53">
        <f t="shared" si="13"/>
        <v>22.2</v>
      </c>
    </row>
    <row r="113" spans="1:37" x14ac:dyDescent="0.25">
      <c r="A113" s="123" t="s">
        <v>121</v>
      </c>
      <c r="B113" s="124">
        <v>48.8</v>
      </c>
      <c r="C113" s="124">
        <v>55.2</v>
      </c>
      <c r="D113" s="124">
        <v>50.6</v>
      </c>
      <c r="E113" s="124">
        <v>90.3</v>
      </c>
      <c r="F113" s="124">
        <v>82.6</v>
      </c>
      <c r="G113" s="124">
        <v>87.5</v>
      </c>
      <c r="H113" s="124">
        <v>86.3</v>
      </c>
      <c r="I113" s="124">
        <v>102.3</v>
      </c>
      <c r="J113" s="124">
        <v>109.1</v>
      </c>
      <c r="K113" s="124">
        <v>117</v>
      </c>
      <c r="L113" s="124">
        <v>120.1</v>
      </c>
      <c r="M113" s="124">
        <v>118.7</v>
      </c>
      <c r="N113" s="124">
        <v>114</v>
      </c>
      <c r="O113" s="124">
        <v>114</v>
      </c>
      <c r="P113" s="124">
        <v>55.2</v>
      </c>
      <c r="Q113" s="124">
        <v>55.2</v>
      </c>
      <c r="R113" s="124">
        <v>88.1</v>
      </c>
      <c r="S113" s="124">
        <v>94.1</v>
      </c>
      <c r="T113" s="124">
        <v>94.1</v>
      </c>
      <c r="U113" s="124">
        <v>94.1</v>
      </c>
      <c r="V113" s="124">
        <v>81.900000000000006</v>
      </c>
      <c r="W113" s="124">
        <v>81.900000000000006</v>
      </c>
      <c r="X113" s="124">
        <v>81.900000000000006</v>
      </c>
      <c r="Y113" s="124">
        <v>81.900000000000006</v>
      </c>
      <c r="Z113" s="124">
        <v>108.6</v>
      </c>
      <c r="AA113" s="124">
        <v>85.9</v>
      </c>
      <c r="AB113" s="124">
        <v>81</v>
      </c>
      <c r="AC113" s="124">
        <v>98</v>
      </c>
      <c r="AD113" s="124">
        <v>103</v>
      </c>
      <c r="AE113" s="124">
        <v>103</v>
      </c>
      <c r="AF113" s="124">
        <v>79</v>
      </c>
      <c r="AG113" s="125">
        <v>120</v>
      </c>
      <c r="AH113" s="52">
        <f t="shared" si="12"/>
        <v>120.1</v>
      </c>
      <c r="AI113" s="53">
        <f t="shared" si="13"/>
        <v>48.8</v>
      </c>
    </row>
    <row r="114" spans="1:37" x14ac:dyDescent="0.25">
      <c r="A114" s="123" t="s">
        <v>122</v>
      </c>
      <c r="B114" s="124">
        <v>57.9</v>
      </c>
      <c r="C114" s="124">
        <v>64.3</v>
      </c>
      <c r="D114" s="124">
        <v>61.2</v>
      </c>
      <c r="E114" s="124">
        <v>108</v>
      </c>
      <c r="F114" s="124">
        <v>107</v>
      </c>
      <c r="G114" s="124">
        <v>106.8</v>
      </c>
      <c r="H114" s="124">
        <v>101</v>
      </c>
      <c r="I114" s="124">
        <v>101.9</v>
      </c>
      <c r="J114" s="124">
        <v>95.7</v>
      </c>
      <c r="K114" s="124">
        <v>101</v>
      </c>
      <c r="L114" s="124">
        <v>103.3</v>
      </c>
      <c r="M114" s="124">
        <v>99.9</v>
      </c>
      <c r="N114" s="124">
        <v>92.3</v>
      </c>
      <c r="O114" s="124">
        <v>92.3</v>
      </c>
      <c r="P114" s="124">
        <v>40.5</v>
      </c>
      <c r="Q114" s="124">
        <v>40.5</v>
      </c>
      <c r="R114" s="124">
        <v>100.6</v>
      </c>
      <c r="S114" s="124">
        <v>106.7</v>
      </c>
      <c r="T114" s="124">
        <v>106.7</v>
      </c>
      <c r="U114" s="124">
        <v>106.7</v>
      </c>
      <c r="V114" s="124">
        <v>77.8</v>
      </c>
      <c r="W114" s="124">
        <v>77.8</v>
      </c>
      <c r="X114" s="124">
        <v>77.8</v>
      </c>
      <c r="Y114" s="124">
        <v>77.8</v>
      </c>
      <c r="Z114" s="124">
        <v>96.3</v>
      </c>
      <c r="AA114" s="124">
        <v>77.099999999999994</v>
      </c>
      <c r="AB114" s="124">
        <v>73</v>
      </c>
      <c r="AC114" s="124">
        <v>85</v>
      </c>
      <c r="AD114" s="124">
        <v>94</v>
      </c>
      <c r="AE114" s="124">
        <v>94</v>
      </c>
      <c r="AF114" s="124">
        <v>97</v>
      </c>
      <c r="AG114" s="125"/>
      <c r="AH114" s="52">
        <f t="shared" si="12"/>
        <v>108</v>
      </c>
      <c r="AI114" s="53">
        <f t="shared" si="13"/>
        <v>40.5</v>
      </c>
    </row>
    <row r="115" spans="1:37" x14ac:dyDescent="0.25">
      <c r="A115" s="123" t="s">
        <v>123</v>
      </c>
      <c r="B115" s="124"/>
      <c r="C115" s="124"/>
      <c r="D115" s="124"/>
      <c r="E115" s="124"/>
      <c r="F115" s="124"/>
      <c r="G115" s="124">
        <v>54</v>
      </c>
      <c r="H115" s="124">
        <v>49.7</v>
      </c>
      <c r="I115" s="124">
        <v>43.7</v>
      </c>
      <c r="J115" s="124">
        <v>53</v>
      </c>
      <c r="K115" s="124">
        <v>53</v>
      </c>
      <c r="L115" s="124">
        <v>54</v>
      </c>
      <c r="M115" s="124">
        <v>52.2</v>
      </c>
      <c r="N115" s="124">
        <v>59.2</v>
      </c>
      <c r="O115" s="124">
        <v>59.2</v>
      </c>
      <c r="P115" s="124">
        <v>27</v>
      </c>
      <c r="Q115" s="124">
        <v>27</v>
      </c>
      <c r="R115" s="124">
        <v>30.7</v>
      </c>
      <c r="S115" s="124">
        <v>30.8</v>
      </c>
      <c r="T115" s="124">
        <v>30.8</v>
      </c>
      <c r="U115" s="124">
        <v>30.8</v>
      </c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6"/>
      <c r="AH115" s="52">
        <f t="shared" si="12"/>
        <v>59.2</v>
      </c>
      <c r="AI115" s="53">
        <f t="shared" si="13"/>
        <v>27</v>
      </c>
    </row>
    <row r="116" spans="1:37" x14ac:dyDescent="0.25">
      <c r="A116" s="127" t="s">
        <v>124</v>
      </c>
      <c r="B116" s="113">
        <v>-26</v>
      </c>
      <c r="C116" s="113">
        <v>-24.6</v>
      </c>
      <c r="D116" s="113">
        <v>-23.6</v>
      </c>
      <c r="E116" s="113">
        <v>-15.9</v>
      </c>
      <c r="F116" s="113">
        <v>-10.8</v>
      </c>
      <c r="G116" s="113">
        <v>-12.8</v>
      </c>
      <c r="H116" s="113">
        <v>-16.100000000000001</v>
      </c>
      <c r="I116" s="113">
        <v>-21.6</v>
      </c>
      <c r="J116" s="113">
        <v>-25.1</v>
      </c>
      <c r="K116" s="113">
        <v>-32</v>
      </c>
      <c r="L116" s="113">
        <v>-33.4</v>
      </c>
      <c r="M116" s="113">
        <v>-37.1</v>
      </c>
      <c r="N116" s="113">
        <v>-30.6</v>
      </c>
      <c r="O116" s="113">
        <v>-30.6</v>
      </c>
      <c r="P116" s="113">
        <v>-30.9</v>
      </c>
      <c r="Q116" s="113">
        <v>-30.9</v>
      </c>
      <c r="R116" s="113">
        <v>-36</v>
      </c>
      <c r="S116" s="113">
        <v>-41.8</v>
      </c>
      <c r="T116" s="113">
        <v>-41.8</v>
      </c>
      <c r="U116" s="113">
        <v>-41.8</v>
      </c>
      <c r="V116" s="113">
        <v>-35.4</v>
      </c>
      <c r="W116" s="113">
        <v>-35.4</v>
      </c>
      <c r="X116" s="113">
        <v>-35.4</v>
      </c>
      <c r="Y116" s="113">
        <v>-35.4</v>
      </c>
      <c r="Z116" s="113">
        <v>-45.7</v>
      </c>
      <c r="AA116" s="113">
        <v>-16.5</v>
      </c>
      <c r="AB116" s="113">
        <v>4.2</v>
      </c>
      <c r="AC116" s="113">
        <v>2.2000000000000002</v>
      </c>
      <c r="AD116" s="113">
        <v>-14</v>
      </c>
      <c r="AE116" s="113">
        <v>-14</v>
      </c>
      <c r="AF116" s="113">
        <v>-10</v>
      </c>
      <c r="AG116" s="126"/>
      <c r="AH116" s="52">
        <f t="shared" si="12"/>
        <v>4.2</v>
      </c>
      <c r="AI116" s="53">
        <f t="shared" si="13"/>
        <v>-45.7</v>
      </c>
    </row>
    <row r="117" spans="1:37" ht="15.75" thickBot="1" x14ac:dyDescent="0.3">
      <c r="A117" s="127" t="s">
        <v>125</v>
      </c>
      <c r="B117" s="113">
        <v>100.4</v>
      </c>
      <c r="C117" s="113">
        <v>104.2</v>
      </c>
      <c r="D117" s="113">
        <v>101</v>
      </c>
      <c r="E117" s="113">
        <v>102.8</v>
      </c>
      <c r="F117" s="113">
        <v>103.1</v>
      </c>
      <c r="G117" s="113">
        <v>102</v>
      </c>
      <c r="H117" s="113">
        <v>79</v>
      </c>
      <c r="I117" s="113">
        <v>93.3</v>
      </c>
      <c r="J117" s="113">
        <v>103.1</v>
      </c>
      <c r="K117" s="113">
        <v>118</v>
      </c>
      <c r="L117" s="113">
        <v>117.8</v>
      </c>
      <c r="M117" s="113">
        <v>113.8</v>
      </c>
      <c r="N117" s="113">
        <v>115.6</v>
      </c>
      <c r="O117" s="113">
        <v>115.6</v>
      </c>
      <c r="P117" s="113">
        <v>71.599999999999994</v>
      </c>
      <c r="Q117" s="113">
        <v>71.599999999999994</v>
      </c>
      <c r="R117" s="113">
        <v>77.2</v>
      </c>
      <c r="S117" s="113">
        <v>79.599999999999994</v>
      </c>
      <c r="T117" s="113">
        <v>79.599999999999994</v>
      </c>
      <c r="U117" s="113">
        <v>79.599999999999994</v>
      </c>
      <c r="V117" s="113">
        <v>78</v>
      </c>
      <c r="W117" s="113">
        <v>78</v>
      </c>
      <c r="X117" s="113">
        <v>78</v>
      </c>
      <c r="Y117" s="113">
        <v>78</v>
      </c>
      <c r="Z117" s="113">
        <v>54.3</v>
      </c>
      <c r="AA117" s="113">
        <v>47.7</v>
      </c>
      <c r="AB117" s="113">
        <v>59</v>
      </c>
      <c r="AC117" s="113">
        <v>83</v>
      </c>
      <c r="AD117" s="113">
        <v>97</v>
      </c>
      <c r="AE117" s="113">
        <v>97</v>
      </c>
      <c r="AF117" s="113">
        <v>90</v>
      </c>
      <c r="AG117" s="126"/>
      <c r="AH117" s="52">
        <f t="shared" si="12"/>
        <v>118</v>
      </c>
      <c r="AI117" s="53">
        <f t="shared" si="13"/>
        <v>47.7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27">SUM(B119:B223)</f>
        <v>0</v>
      </c>
      <c r="C224" s="144">
        <f t="shared" si="27"/>
        <v>0</v>
      </c>
      <c r="D224" s="144">
        <f t="shared" si="27"/>
        <v>0</v>
      </c>
      <c r="E224" s="144">
        <f t="shared" si="27"/>
        <v>0</v>
      </c>
      <c r="F224" s="144">
        <f t="shared" si="27"/>
        <v>0</v>
      </c>
      <c r="G224" s="144">
        <f t="shared" si="27"/>
        <v>0</v>
      </c>
      <c r="H224" s="144">
        <f t="shared" si="27"/>
        <v>0</v>
      </c>
      <c r="I224" s="144">
        <f t="shared" si="27"/>
        <v>0</v>
      </c>
      <c r="J224" s="144">
        <f t="shared" si="27"/>
        <v>0</v>
      </c>
      <c r="K224" s="144">
        <f t="shared" si="27"/>
        <v>0</v>
      </c>
      <c r="L224" s="144">
        <f t="shared" si="27"/>
        <v>0</v>
      </c>
      <c r="M224" s="144">
        <f t="shared" si="27"/>
        <v>0</v>
      </c>
      <c r="N224" s="144">
        <f t="shared" si="27"/>
        <v>0</v>
      </c>
      <c r="O224" s="144">
        <f t="shared" si="27"/>
        <v>0</v>
      </c>
      <c r="P224" s="144">
        <f t="shared" si="27"/>
        <v>0</v>
      </c>
      <c r="Q224" s="144">
        <f t="shared" si="27"/>
        <v>0</v>
      </c>
      <c r="R224" s="144">
        <f t="shared" si="27"/>
        <v>0</v>
      </c>
      <c r="S224" s="144">
        <f t="shared" si="27"/>
        <v>0</v>
      </c>
      <c r="T224" s="144">
        <f t="shared" si="27"/>
        <v>0</v>
      </c>
      <c r="U224" s="144">
        <f t="shared" si="27"/>
        <v>0</v>
      </c>
      <c r="V224" s="144">
        <f t="shared" si="27"/>
        <v>0</v>
      </c>
      <c r="W224" s="144">
        <f t="shared" si="27"/>
        <v>0</v>
      </c>
      <c r="X224" s="144">
        <f t="shared" si="27"/>
        <v>0</v>
      </c>
      <c r="Y224" s="144">
        <f t="shared" si="27"/>
        <v>0</v>
      </c>
      <c r="Z224" s="144">
        <f t="shared" si="27"/>
        <v>0</v>
      </c>
      <c r="AA224" s="144">
        <f t="shared" si="27"/>
        <v>0</v>
      </c>
      <c r="AB224" s="144">
        <f t="shared" si="27"/>
        <v>0</v>
      </c>
      <c r="AC224" s="144">
        <f t="shared" si="27"/>
        <v>0</v>
      </c>
      <c r="AD224" s="144">
        <f t="shared" si="27"/>
        <v>0</v>
      </c>
      <c r="AE224" s="144">
        <f t="shared" si="27"/>
        <v>0</v>
      </c>
      <c r="AF224" s="145">
        <f t="shared" si="27"/>
        <v>0</v>
      </c>
      <c r="AG224" s="146">
        <f t="shared" si="27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28">AF226</f>
        <v>0</v>
      </c>
      <c r="C226" s="149">
        <v>0.3</v>
      </c>
      <c r="D226" s="149">
        <f t="shared" ref="D226:P231" si="29">C226</f>
        <v>0.3</v>
      </c>
      <c r="E226" s="149">
        <f t="shared" si="29"/>
        <v>0.3</v>
      </c>
      <c r="F226" s="149">
        <f t="shared" si="29"/>
        <v>0.3</v>
      </c>
      <c r="G226" s="149">
        <f t="shared" si="29"/>
        <v>0.3</v>
      </c>
      <c r="H226" s="149">
        <f t="shared" si="29"/>
        <v>0.3</v>
      </c>
      <c r="I226" s="149">
        <f t="shared" si="29"/>
        <v>0.3</v>
      </c>
      <c r="J226" s="149">
        <f t="shared" si="29"/>
        <v>0.3</v>
      </c>
      <c r="K226" s="149">
        <f t="shared" si="29"/>
        <v>0.3</v>
      </c>
      <c r="L226" s="149">
        <f t="shared" si="29"/>
        <v>0.3</v>
      </c>
      <c r="M226" s="149">
        <f t="shared" si="29"/>
        <v>0.3</v>
      </c>
      <c r="N226" s="149">
        <f t="shared" si="29"/>
        <v>0.3</v>
      </c>
      <c r="O226" s="149">
        <f t="shared" si="29"/>
        <v>0.3</v>
      </c>
      <c r="P226" s="149">
        <f t="shared" si="29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28"/>
        <v>0</v>
      </c>
      <c r="C227" s="136">
        <v>0.4</v>
      </c>
      <c r="D227" s="136">
        <f t="shared" si="29"/>
        <v>0.4</v>
      </c>
      <c r="E227" s="136">
        <f t="shared" si="29"/>
        <v>0.4</v>
      </c>
      <c r="F227" s="136">
        <f t="shared" si="29"/>
        <v>0.4</v>
      </c>
      <c r="G227" s="136">
        <f t="shared" si="29"/>
        <v>0.4</v>
      </c>
      <c r="H227" s="136">
        <f t="shared" si="29"/>
        <v>0.4</v>
      </c>
      <c r="I227" s="136">
        <f t="shared" si="29"/>
        <v>0.4</v>
      </c>
      <c r="J227" s="136">
        <f t="shared" si="29"/>
        <v>0.4</v>
      </c>
      <c r="K227" s="136">
        <f t="shared" si="29"/>
        <v>0.4</v>
      </c>
      <c r="L227" s="136">
        <f t="shared" si="29"/>
        <v>0.4</v>
      </c>
      <c r="M227" s="136">
        <f t="shared" si="29"/>
        <v>0.4</v>
      </c>
      <c r="N227" s="136">
        <f t="shared" si="29"/>
        <v>0.4</v>
      </c>
      <c r="O227" s="136">
        <f t="shared" si="29"/>
        <v>0.4</v>
      </c>
      <c r="P227" s="136">
        <f t="shared" si="29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28"/>
        <v>0</v>
      </c>
      <c r="C228" s="136">
        <v>1.5</v>
      </c>
      <c r="D228" s="136">
        <f t="shared" si="29"/>
        <v>1.5</v>
      </c>
      <c r="E228" s="136">
        <f t="shared" si="29"/>
        <v>1.5</v>
      </c>
      <c r="F228" s="136">
        <f t="shared" si="29"/>
        <v>1.5</v>
      </c>
      <c r="G228" s="136">
        <f t="shared" si="29"/>
        <v>1.5</v>
      </c>
      <c r="H228" s="136">
        <f t="shared" si="29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29"/>
        <v>1.5</v>
      </c>
      <c r="K228" s="136">
        <f t="shared" ca="1" si="29"/>
        <v>1.5</v>
      </c>
      <c r="L228" s="136">
        <f t="shared" ca="1" si="29"/>
        <v>1.5</v>
      </c>
      <c r="M228" s="136">
        <f t="shared" ca="1" si="29"/>
        <v>1.5</v>
      </c>
      <c r="N228" s="136">
        <f t="shared" ca="1" si="29"/>
        <v>1.5</v>
      </c>
      <c r="O228" s="136">
        <f t="shared" ca="1" si="29"/>
        <v>1.5</v>
      </c>
      <c r="P228" s="136">
        <f t="shared" ca="1" si="29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28"/>
        <v>0</v>
      </c>
      <c r="C229" s="136">
        <v>0.3</v>
      </c>
      <c r="D229" s="136">
        <f t="shared" si="29"/>
        <v>0.3</v>
      </c>
      <c r="E229" s="136">
        <f t="shared" si="29"/>
        <v>0.3</v>
      </c>
      <c r="F229" s="136">
        <f t="shared" si="29"/>
        <v>0.3</v>
      </c>
      <c r="G229" s="136">
        <f t="shared" si="29"/>
        <v>0.3</v>
      </c>
      <c r="H229" s="136">
        <f t="shared" si="29"/>
        <v>0.3</v>
      </c>
      <c r="I229" s="136">
        <f t="shared" si="29"/>
        <v>0.3</v>
      </c>
      <c r="J229" s="136">
        <f t="shared" si="29"/>
        <v>0.3</v>
      </c>
      <c r="K229" s="136">
        <f t="shared" si="29"/>
        <v>0.3</v>
      </c>
      <c r="L229" s="136">
        <f t="shared" si="29"/>
        <v>0.3</v>
      </c>
      <c r="M229" s="136">
        <f t="shared" si="29"/>
        <v>0.3</v>
      </c>
      <c r="N229" s="136">
        <f t="shared" si="29"/>
        <v>0.3</v>
      </c>
      <c r="O229" s="136">
        <f t="shared" si="29"/>
        <v>0.3</v>
      </c>
      <c r="P229" s="136">
        <f t="shared" si="29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28"/>
        <v>0</v>
      </c>
      <c r="C230" s="136">
        <v>0.4</v>
      </c>
      <c r="D230" s="136">
        <f t="shared" si="29"/>
        <v>0.4</v>
      </c>
      <c r="E230" s="136">
        <f t="shared" si="29"/>
        <v>0.4</v>
      </c>
      <c r="F230" s="136">
        <f t="shared" si="29"/>
        <v>0.4</v>
      </c>
      <c r="G230" s="136">
        <f t="shared" si="29"/>
        <v>0.4</v>
      </c>
      <c r="H230" s="136">
        <f t="shared" si="29"/>
        <v>0.4</v>
      </c>
      <c r="I230" s="136">
        <f t="shared" si="29"/>
        <v>0.4</v>
      </c>
      <c r="J230" s="136">
        <f t="shared" si="29"/>
        <v>0.4</v>
      </c>
      <c r="K230" s="136">
        <f t="shared" si="29"/>
        <v>0.4</v>
      </c>
      <c r="L230" s="136">
        <f t="shared" si="29"/>
        <v>0.4</v>
      </c>
      <c r="M230" s="136">
        <f t="shared" si="29"/>
        <v>0.4</v>
      </c>
      <c r="N230" s="136">
        <f t="shared" si="29"/>
        <v>0.4</v>
      </c>
      <c r="O230" s="136">
        <f t="shared" si="29"/>
        <v>0.4</v>
      </c>
      <c r="P230" s="136">
        <f t="shared" si="29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28"/>
        <v>0</v>
      </c>
      <c r="C231" s="140">
        <v>0.64</v>
      </c>
      <c r="D231" s="140">
        <f t="shared" si="29"/>
        <v>0.64</v>
      </c>
      <c r="E231" s="140">
        <f t="shared" si="29"/>
        <v>0.64</v>
      </c>
      <c r="F231" s="140">
        <f t="shared" si="29"/>
        <v>0.64</v>
      </c>
      <c r="G231" s="140">
        <f t="shared" si="29"/>
        <v>0.64</v>
      </c>
      <c r="H231" s="140">
        <f t="shared" si="29"/>
        <v>0.64</v>
      </c>
      <c r="I231" s="140">
        <f t="shared" si="29"/>
        <v>0.64</v>
      </c>
      <c r="J231" s="140">
        <f t="shared" si="29"/>
        <v>0.64</v>
      </c>
      <c r="K231" s="140">
        <f t="shared" si="29"/>
        <v>0.64</v>
      </c>
      <c r="L231" s="140">
        <f t="shared" si="29"/>
        <v>0.64</v>
      </c>
      <c r="M231" s="140">
        <f t="shared" si="29"/>
        <v>0.64</v>
      </c>
      <c r="N231" s="140">
        <f t="shared" si="29"/>
        <v>0.64</v>
      </c>
      <c r="O231" s="140">
        <f t="shared" si="29"/>
        <v>0.64</v>
      </c>
      <c r="P231" s="140">
        <f t="shared" si="29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30">SUM(B226:B231)</f>
        <v>0</v>
      </c>
      <c r="C232" s="144">
        <f t="shared" si="30"/>
        <v>3.54</v>
      </c>
      <c r="D232" s="144">
        <f t="shared" si="30"/>
        <v>3.54</v>
      </c>
      <c r="E232" s="144">
        <f t="shared" si="30"/>
        <v>3.54</v>
      </c>
      <c r="F232" s="144">
        <f t="shared" si="30"/>
        <v>3.54</v>
      </c>
      <c r="G232" s="144">
        <f t="shared" si="30"/>
        <v>3.54</v>
      </c>
      <c r="H232" s="144">
        <f t="shared" si="30"/>
        <v>3.54</v>
      </c>
      <c r="I232" s="144">
        <f t="shared" ca="1" si="30"/>
        <v>3.54</v>
      </c>
      <c r="J232" s="144">
        <f t="shared" ca="1" si="30"/>
        <v>3.54</v>
      </c>
      <c r="K232" s="144">
        <f t="shared" ca="1" si="30"/>
        <v>3.54</v>
      </c>
      <c r="L232" s="144">
        <f t="shared" ca="1" si="30"/>
        <v>3.54</v>
      </c>
      <c r="M232" s="144">
        <f t="shared" ca="1" si="30"/>
        <v>3.54</v>
      </c>
      <c r="N232" s="144">
        <f t="shared" ca="1" si="30"/>
        <v>3.54</v>
      </c>
      <c r="O232" s="144">
        <f t="shared" ca="1" si="30"/>
        <v>3.54</v>
      </c>
      <c r="P232" s="144">
        <f t="shared" ca="1" si="30"/>
        <v>3.54</v>
      </c>
      <c r="Q232" s="144">
        <f t="shared" si="30"/>
        <v>0</v>
      </c>
      <c r="R232" s="144">
        <f t="shared" si="30"/>
        <v>0</v>
      </c>
      <c r="S232" s="144">
        <f t="shared" si="30"/>
        <v>0</v>
      </c>
      <c r="T232" s="144">
        <f t="shared" si="30"/>
        <v>0</v>
      </c>
      <c r="U232" s="144">
        <f t="shared" si="30"/>
        <v>0</v>
      </c>
      <c r="V232" s="144">
        <f t="shared" si="30"/>
        <v>0</v>
      </c>
      <c r="W232" s="144">
        <f t="shared" si="30"/>
        <v>0</v>
      </c>
      <c r="X232" s="144">
        <f t="shared" si="30"/>
        <v>0</v>
      </c>
      <c r="Y232" s="144">
        <f t="shared" si="30"/>
        <v>0</v>
      </c>
      <c r="Z232" s="144">
        <f t="shared" si="30"/>
        <v>0</v>
      </c>
      <c r="AA232" s="144">
        <f t="shared" si="30"/>
        <v>0</v>
      </c>
      <c r="AB232" s="144">
        <f t="shared" si="30"/>
        <v>0</v>
      </c>
      <c r="AC232" s="144">
        <f t="shared" si="30"/>
        <v>0</v>
      </c>
      <c r="AD232" s="144">
        <f t="shared" si="30"/>
        <v>0</v>
      </c>
      <c r="AE232" s="144">
        <f t="shared" si="30"/>
        <v>0</v>
      </c>
      <c r="AF232" s="144">
        <f t="shared" si="30"/>
        <v>0</v>
      </c>
      <c r="AG232" s="154">
        <f t="shared" si="30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1525.44</v>
      </c>
      <c r="C241" s="170">
        <f>INDEX(G9:N9,1,MATCH(MAX(G89:N89),G89:N89,0))</f>
        <v>0.33333333333333331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8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2079/12/8)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2079/12/8)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31">B89</f>
        <v>1492.44</v>
      </c>
      <c r="U246" s="180">
        <f t="shared" si="31"/>
        <v>1443.44</v>
      </c>
      <c r="V246" s="180">
        <f t="shared" si="31"/>
        <v>1424.04</v>
      </c>
      <c r="W246" s="180">
        <f t="shared" si="31"/>
        <v>1312.54</v>
      </c>
      <c r="X246" s="180">
        <f t="shared" si="31"/>
        <v>1322.84</v>
      </c>
      <c r="Y246" s="180">
        <f t="shared" si="31"/>
        <v>1293.74</v>
      </c>
      <c r="Z246" s="180">
        <f t="shared" si="31"/>
        <v>1279.1399999999999</v>
      </c>
      <c r="AA246" s="180">
        <f t="shared" si="31"/>
        <v>1276.04</v>
      </c>
      <c r="AB246" s="180">
        <f t="shared" si="31"/>
        <v>1435.54</v>
      </c>
      <c r="AC246" s="180">
        <f t="shared" si="31"/>
        <v>1455.54</v>
      </c>
      <c r="AD246" s="180">
        <f t="shared" si="31"/>
        <v>1499.6399999999999</v>
      </c>
      <c r="AE246" s="180">
        <f t="shared" si="31"/>
        <v>1525.44</v>
      </c>
      <c r="AF246" s="180">
        <f t="shared" si="31"/>
        <v>1480.6399999999999</v>
      </c>
      <c r="AG246" s="180">
        <f t="shared" si="31"/>
        <v>1413.24</v>
      </c>
      <c r="AH246" s="180">
        <f t="shared" si="31"/>
        <v>1505.54</v>
      </c>
      <c r="AI246" s="180">
        <f t="shared" si="31"/>
        <v>1431.44</v>
      </c>
      <c r="AJ246" s="180">
        <f t="shared" si="31"/>
        <v>1527.04</v>
      </c>
      <c r="AK246" s="180">
        <f t="shared" si="31"/>
        <v>1503.7399999999998</v>
      </c>
      <c r="AL246" s="180">
        <f t="shared" si="31"/>
        <v>1481.54</v>
      </c>
      <c r="AM246" s="180">
        <f t="shared" si="31"/>
        <v>1369.1399999999999</v>
      </c>
      <c r="AN246" s="180">
        <f t="shared" si="31"/>
        <v>1351.7399999999998</v>
      </c>
      <c r="AO246" s="180">
        <f t="shared" si="31"/>
        <v>1374.6399999999999</v>
      </c>
      <c r="AP246" s="180">
        <f t="shared" si="31"/>
        <v>1379.54</v>
      </c>
      <c r="AQ246" s="180">
        <f t="shared" si="31"/>
        <v>1453.3400000000001</v>
      </c>
      <c r="AR246" s="180">
        <f t="shared" si="31"/>
        <v>1508.6399999999999</v>
      </c>
      <c r="AS246" s="180">
        <f t="shared" si="31"/>
        <v>1384.8400000000001</v>
      </c>
      <c r="AT246" s="180">
        <f t="shared" si="31"/>
        <v>1407.44</v>
      </c>
      <c r="AU246" s="180">
        <f t="shared" si="31"/>
        <v>1427.94</v>
      </c>
      <c r="AV246" s="180">
        <f t="shared" si="31"/>
        <v>1448.94</v>
      </c>
      <c r="AW246" s="180">
        <f t="shared" si="31"/>
        <v>1371.74</v>
      </c>
      <c r="AX246" s="180">
        <f t="shared" si="31"/>
        <v>1333.24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32">C231</f>
        <v>0.64</v>
      </c>
      <c r="C267" s="183">
        <f t="shared" si="32"/>
        <v>0.64</v>
      </c>
      <c r="D267" s="183">
        <f t="shared" si="32"/>
        <v>0.64</v>
      </c>
      <c r="E267" s="183">
        <f t="shared" si="32"/>
        <v>0.64</v>
      </c>
      <c r="F267" s="183">
        <f t="shared" si="32"/>
        <v>0.64</v>
      </c>
      <c r="G267" s="183">
        <f t="shared" si="32"/>
        <v>0.64</v>
      </c>
      <c r="H267" s="183">
        <f t="shared" si="32"/>
        <v>0.64</v>
      </c>
      <c r="I267" s="183">
        <f t="shared" si="32"/>
        <v>0.64</v>
      </c>
      <c r="J267" s="183">
        <f t="shared" si="32"/>
        <v>0.64</v>
      </c>
      <c r="K267" s="183">
        <f t="shared" si="32"/>
        <v>0.64</v>
      </c>
      <c r="L267" s="183">
        <f t="shared" si="32"/>
        <v>0.64</v>
      </c>
      <c r="M267" s="183">
        <f t="shared" si="32"/>
        <v>0.64</v>
      </c>
      <c r="N267" s="183">
        <f t="shared" si="32"/>
        <v>0.64</v>
      </c>
      <c r="O267" s="183">
        <f t="shared" si="32"/>
        <v>0.64</v>
      </c>
      <c r="P267" s="183">
        <f t="shared" si="32"/>
        <v>0</v>
      </c>
      <c r="Q267" s="183">
        <f t="shared" si="32"/>
        <v>0</v>
      </c>
      <c r="R267" s="183">
        <f t="shared" si="32"/>
        <v>0</v>
      </c>
      <c r="S267" s="183">
        <f t="shared" si="32"/>
        <v>0</v>
      </c>
      <c r="T267" s="183">
        <f t="shared" si="32"/>
        <v>0</v>
      </c>
      <c r="U267" s="183">
        <f t="shared" si="32"/>
        <v>0</v>
      </c>
      <c r="V267" s="183">
        <f t="shared" si="32"/>
        <v>0</v>
      </c>
      <c r="W267" s="183">
        <f t="shared" si="32"/>
        <v>0</v>
      </c>
      <c r="X267" s="183">
        <f t="shared" si="32"/>
        <v>0</v>
      </c>
      <c r="Y267" s="183">
        <f t="shared" si="32"/>
        <v>0</v>
      </c>
      <c r="Z267" s="183">
        <f t="shared" si="32"/>
        <v>0</v>
      </c>
      <c r="AA267" s="183">
        <f t="shared" si="32"/>
        <v>0</v>
      </c>
      <c r="AB267" s="183">
        <f t="shared" si="32"/>
        <v>0</v>
      </c>
      <c r="AC267" s="183">
        <f t="shared" si="32"/>
        <v>0</v>
      </c>
      <c r="AD267" s="183">
        <f t="shared" si="32"/>
        <v>0</v>
      </c>
      <c r="AE267" s="183">
        <f t="shared" si="32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33">IF(B235&lt;100,"",B235-520)</f>
        <v/>
      </c>
      <c r="C268" s="184" t="str">
        <f t="shared" si="33"/>
        <v/>
      </c>
      <c r="D268" s="184" t="str">
        <f t="shared" si="33"/>
        <v/>
      </c>
      <c r="E268" s="184" t="str">
        <f t="shared" si="33"/>
        <v/>
      </c>
      <c r="F268" s="184" t="str">
        <f t="shared" si="33"/>
        <v/>
      </c>
      <c r="G268" s="184" t="str">
        <f t="shared" si="33"/>
        <v/>
      </c>
      <c r="H268" s="184" t="str">
        <f t="shared" si="33"/>
        <v/>
      </c>
      <c r="I268" s="184" t="str">
        <f t="shared" si="33"/>
        <v/>
      </c>
      <c r="J268" s="184" t="str">
        <f t="shared" si="33"/>
        <v/>
      </c>
      <c r="K268" s="184" t="str">
        <f t="shared" si="33"/>
        <v/>
      </c>
      <c r="L268" s="184" t="str">
        <f t="shared" si="33"/>
        <v/>
      </c>
      <c r="M268" s="184" t="str">
        <f t="shared" si="33"/>
        <v/>
      </c>
      <c r="N268" s="184" t="str">
        <f t="shared" si="33"/>
        <v/>
      </c>
      <c r="O268" s="184" t="str">
        <f t="shared" si="33"/>
        <v/>
      </c>
      <c r="P268" s="184" t="str">
        <f t="shared" si="33"/>
        <v/>
      </c>
      <c r="Q268" s="184" t="str">
        <f t="shared" si="33"/>
        <v/>
      </c>
      <c r="R268" s="184" t="str">
        <f t="shared" si="33"/>
        <v/>
      </c>
      <c r="S268" s="184" t="str">
        <f t="shared" si="33"/>
        <v/>
      </c>
      <c r="T268" s="184" t="str">
        <f t="shared" si="33"/>
        <v/>
      </c>
      <c r="U268" s="184" t="str">
        <f t="shared" si="33"/>
        <v/>
      </c>
      <c r="V268" s="184" t="str">
        <f t="shared" si="33"/>
        <v/>
      </c>
      <c r="W268" s="184" t="str">
        <f t="shared" si="33"/>
        <v/>
      </c>
      <c r="X268" s="184" t="str">
        <f t="shared" si="33"/>
        <v/>
      </c>
      <c r="Y268" s="184" t="str">
        <f t="shared" si="33"/>
        <v/>
      </c>
      <c r="Z268" s="184" t="str">
        <f t="shared" si="33"/>
        <v/>
      </c>
      <c r="AA268" s="184" t="str">
        <f t="shared" si="33"/>
        <v/>
      </c>
      <c r="AB268" s="184" t="str">
        <f t="shared" si="33"/>
        <v/>
      </c>
      <c r="AC268" s="184" t="str">
        <f t="shared" si="33"/>
        <v/>
      </c>
      <c r="AD268" s="184" t="str">
        <f t="shared" si="33"/>
        <v/>
      </c>
      <c r="AE268" s="184" t="str">
        <f t="shared" si="33"/>
        <v/>
      </c>
      <c r="AF268" s="184" t="str">
        <f t="shared" si="33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34">IF(B236&lt;100,"",B236-620)</f>
        <v/>
      </c>
      <c r="C269" s="184" t="str">
        <f t="shared" si="34"/>
        <v/>
      </c>
      <c r="D269" s="184" t="str">
        <f t="shared" si="34"/>
        <v/>
      </c>
      <c r="E269" s="184" t="str">
        <f t="shared" si="34"/>
        <v/>
      </c>
      <c r="F269" s="184" t="str">
        <f t="shared" si="34"/>
        <v/>
      </c>
      <c r="G269" s="184" t="str">
        <f t="shared" si="34"/>
        <v/>
      </c>
      <c r="H269" s="184" t="str">
        <f t="shared" si="34"/>
        <v/>
      </c>
      <c r="I269" s="184" t="str">
        <f t="shared" si="34"/>
        <v/>
      </c>
      <c r="J269" s="184" t="str">
        <f t="shared" si="34"/>
        <v/>
      </c>
      <c r="K269" s="184" t="str">
        <f t="shared" si="34"/>
        <v/>
      </c>
      <c r="L269" s="184" t="str">
        <f t="shared" si="34"/>
        <v/>
      </c>
      <c r="M269" s="184" t="str">
        <f t="shared" si="34"/>
        <v/>
      </c>
      <c r="N269" s="184" t="str">
        <f t="shared" si="34"/>
        <v/>
      </c>
      <c r="O269" s="184" t="str">
        <f t="shared" si="34"/>
        <v/>
      </c>
      <c r="P269" s="184" t="str">
        <f t="shared" si="34"/>
        <v/>
      </c>
      <c r="Q269" s="184" t="str">
        <f t="shared" si="34"/>
        <v/>
      </c>
      <c r="R269" s="184" t="str">
        <f t="shared" si="34"/>
        <v/>
      </c>
      <c r="S269" s="184" t="str">
        <f t="shared" si="34"/>
        <v/>
      </c>
      <c r="T269" s="184" t="str">
        <f t="shared" si="34"/>
        <v/>
      </c>
      <c r="U269" s="184" t="str">
        <f t="shared" si="34"/>
        <v/>
      </c>
      <c r="V269" s="184" t="str">
        <f t="shared" si="34"/>
        <v/>
      </c>
      <c r="W269" s="184" t="str">
        <f t="shared" si="34"/>
        <v/>
      </c>
      <c r="X269" s="184" t="str">
        <f t="shared" si="34"/>
        <v/>
      </c>
      <c r="Y269" s="184" t="str">
        <f t="shared" si="34"/>
        <v/>
      </c>
      <c r="Z269" s="184" t="str">
        <f t="shared" si="34"/>
        <v/>
      </c>
      <c r="AA269" s="184" t="str">
        <f t="shared" si="34"/>
        <v/>
      </c>
      <c r="AB269" s="184" t="str">
        <f t="shared" si="34"/>
        <v/>
      </c>
      <c r="AC269" s="184" t="str">
        <f t="shared" si="34"/>
        <v/>
      </c>
      <c r="AD269" s="184" t="str">
        <f t="shared" si="34"/>
        <v/>
      </c>
      <c r="AE269" s="184" t="str">
        <f t="shared" si="34"/>
        <v/>
      </c>
      <c r="AF269" s="184" t="str">
        <f t="shared" si="34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35">IF(B237&lt;100,"",B237-330)</f>
        <v/>
      </c>
      <c r="C270" s="184" t="str">
        <f t="shared" si="35"/>
        <v/>
      </c>
      <c r="D270" s="184" t="str">
        <f t="shared" si="35"/>
        <v/>
      </c>
      <c r="E270" s="184" t="str">
        <f t="shared" si="35"/>
        <v/>
      </c>
      <c r="F270" s="184" t="str">
        <f t="shared" si="35"/>
        <v/>
      </c>
      <c r="G270" s="184" t="str">
        <f t="shared" si="35"/>
        <v/>
      </c>
      <c r="H270" s="184" t="str">
        <f t="shared" si="35"/>
        <v/>
      </c>
      <c r="I270" s="184" t="str">
        <f t="shared" si="35"/>
        <v/>
      </c>
      <c r="J270" s="184" t="str">
        <f t="shared" si="35"/>
        <v/>
      </c>
      <c r="K270" s="184" t="str">
        <f t="shared" si="35"/>
        <v/>
      </c>
      <c r="L270" s="184" t="str">
        <f t="shared" si="35"/>
        <v/>
      </c>
      <c r="M270" s="184" t="str">
        <f t="shared" si="35"/>
        <v/>
      </c>
      <c r="N270" s="184" t="str">
        <f t="shared" si="35"/>
        <v/>
      </c>
      <c r="O270" s="184" t="str">
        <f t="shared" si="35"/>
        <v/>
      </c>
      <c r="P270" s="184" t="str">
        <f t="shared" si="35"/>
        <v/>
      </c>
      <c r="Q270" s="184" t="str">
        <f t="shared" si="35"/>
        <v/>
      </c>
      <c r="R270" s="184" t="str">
        <f t="shared" si="35"/>
        <v/>
      </c>
      <c r="S270" s="184" t="str">
        <f t="shared" si="35"/>
        <v/>
      </c>
      <c r="T270" s="184" t="str">
        <f t="shared" si="35"/>
        <v/>
      </c>
      <c r="U270" s="184" t="str">
        <f t="shared" si="35"/>
        <v/>
      </c>
      <c r="V270" s="184" t="str">
        <f t="shared" si="35"/>
        <v/>
      </c>
      <c r="W270" s="184" t="str">
        <f t="shared" si="35"/>
        <v/>
      </c>
      <c r="X270" s="184" t="str">
        <f t="shared" si="35"/>
        <v/>
      </c>
      <c r="Y270" s="184" t="str">
        <f t="shared" si="35"/>
        <v/>
      </c>
      <c r="Z270" s="184" t="str">
        <f t="shared" si="35"/>
        <v/>
      </c>
      <c r="AA270" s="184" t="str">
        <f t="shared" si="35"/>
        <v/>
      </c>
      <c r="AB270" s="184" t="str">
        <f t="shared" si="35"/>
        <v/>
      </c>
      <c r="AC270" s="184" t="str">
        <f t="shared" si="35"/>
        <v/>
      </c>
      <c r="AD270" s="184" t="str">
        <f t="shared" si="35"/>
        <v/>
      </c>
      <c r="AE270" s="184" t="str">
        <f t="shared" si="35"/>
        <v/>
      </c>
      <c r="AF270" s="184" t="str">
        <f t="shared" si="35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36">IF(B238&lt;100,"",B238-1500)</f>
        <v/>
      </c>
      <c r="C271" s="184" t="str">
        <f t="shared" si="36"/>
        <v/>
      </c>
      <c r="D271" s="184" t="str">
        <f t="shared" si="36"/>
        <v/>
      </c>
      <c r="E271" s="184" t="str">
        <f t="shared" si="36"/>
        <v/>
      </c>
      <c r="F271" s="184" t="str">
        <f t="shared" si="36"/>
        <v/>
      </c>
      <c r="G271" s="184" t="str">
        <f t="shared" si="36"/>
        <v/>
      </c>
      <c r="H271" s="184" t="str">
        <f t="shared" si="36"/>
        <v/>
      </c>
      <c r="I271" s="184" t="str">
        <f t="shared" si="36"/>
        <v/>
      </c>
      <c r="J271" s="184" t="str">
        <f t="shared" si="36"/>
        <v/>
      </c>
      <c r="K271" s="184" t="str">
        <f t="shared" si="36"/>
        <v/>
      </c>
      <c r="L271" s="184" t="str">
        <f t="shared" si="36"/>
        <v/>
      </c>
      <c r="M271" s="184" t="str">
        <f t="shared" si="36"/>
        <v/>
      </c>
      <c r="N271" s="184" t="str">
        <f t="shared" si="36"/>
        <v/>
      </c>
      <c r="O271" s="184" t="str">
        <f t="shared" si="36"/>
        <v/>
      </c>
      <c r="P271" s="184" t="str">
        <f t="shared" si="36"/>
        <v/>
      </c>
      <c r="Q271" s="184" t="str">
        <f t="shared" si="36"/>
        <v/>
      </c>
      <c r="R271" s="184" t="str">
        <f t="shared" si="36"/>
        <v/>
      </c>
      <c r="S271" s="184" t="str">
        <f t="shared" si="36"/>
        <v/>
      </c>
      <c r="T271" s="184" t="str">
        <f t="shared" si="36"/>
        <v/>
      </c>
      <c r="U271" s="184" t="str">
        <f t="shared" si="36"/>
        <v/>
      </c>
      <c r="V271" s="184" t="str">
        <f t="shared" si="36"/>
        <v/>
      </c>
      <c r="W271" s="184" t="str">
        <f t="shared" si="36"/>
        <v/>
      </c>
      <c r="X271" s="184" t="str">
        <f t="shared" si="36"/>
        <v/>
      </c>
      <c r="Y271" s="184" t="str">
        <f t="shared" si="36"/>
        <v/>
      </c>
      <c r="Z271" s="184" t="str">
        <f t="shared" si="36"/>
        <v/>
      </c>
      <c r="AA271" s="184" t="str">
        <f t="shared" si="36"/>
        <v/>
      </c>
      <c r="AB271" s="184" t="str">
        <f t="shared" si="36"/>
        <v/>
      </c>
      <c r="AC271" s="184" t="str">
        <f t="shared" si="36"/>
        <v/>
      </c>
      <c r="AD271" s="184" t="str">
        <f t="shared" si="36"/>
        <v/>
      </c>
      <c r="AE271" s="184" t="str">
        <f t="shared" si="36"/>
        <v/>
      </c>
      <c r="AF271" s="184" t="str">
        <f t="shared" si="36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7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70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7304" priority="466">
      <formula>B$9&gt;=20/24</formula>
    </cfRule>
    <cfRule type="expression" dxfId="7303" priority="467">
      <formula>AND(B$9&gt;=14/24,B$9&lt;20/24)</formula>
    </cfRule>
    <cfRule type="expression" dxfId="7302" priority="468">
      <formula>AND(B$9&gt;=8/24,B$9&lt;14/24)</formula>
    </cfRule>
    <cfRule type="expression" dxfId="7301" priority="469">
      <formula>B$9&lt;8/24</formula>
    </cfRule>
  </conditionalFormatting>
  <conditionalFormatting sqref="AL4:AL6">
    <cfRule type="iconSet" priority="465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7300" priority="464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7299" priority="463">
      <formula>$AH12=0</formula>
    </cfRule>
  </conditionalFormatting>
  <conditionalFormatting sqref="A114">
    <cfRule type="expression" dxfId="7298" priority="462">
      <formula>$AH114=0</formula>
    </cfRule>
  </conditionalFormatting>
  <conditionalFormatting sqref="AL42">
    <cfRule type="iconSet" priority="461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7297" priority="460">
      <formula>$AH45=0</formula>
    </cfRule>
  </conditionalFormatting>
  <conditionalFormatting sqref="A98">
    <cfRule type="expression" dxfId="7296" priority="459">
      <formula>$AH98=0</formula>
    </cfRule>
  </conditionalFormatting>
  <conditionalFormatting sqref="A18">
    <cfRule type="expression" dxfId="7295" priority="458">
      <formula>$AH18=0</formula>
    </cfRule>
  </conditionalFormatting>
  <conditionalFormatting sqref="A196:A201">
    <cfRule type="expression" dxfId="7294" priority="457">
      <formula>$AH196=0</formula>
    </cfRule>
  </conditionalFormatting>
  <conditionalFormatting sqref="A190:A195">
    <cfRule type="expression" dxfId="7293" priority="456">
      <formula>$AH190=0</formula>
    </cfRule>
  </conditionalFormatting>
  <conditionalFormatting sqref="A58">
    <cfRule type="expression" dxfId="7292" priority="455">
      <formula>$AH58=0</formula>
    </cfRule>
  </conditionalFormatting>
  <conditionalFormatting sqref="A94">
    <cfRule type="expression" dxfId="7291" priority="454">
      <formula>$AH94=0</formula>
    </cfRule>
  </conditionalFormatting>
  <conditionalFormatting sqref="AD99:AF99 E99:Y99">
    <cfRule type="expression" dxfId="7290" priority="450">
      <formula>E$9&gt;=20/24</formula>
    </cfRule>
    <cfRule type="expression" dxfId="7289" priority="451">
      <formula>AND(E$9&gt;=14/24,E$9&lt;20/24)</formula>
    </cfRule>
    <cfRule type="expression" dxfId="7288" priority="452">
      <formula>AND(E$9&gt;=8/24,E$9&lt;14/24)</formula>
    </cfRule>
    <cfRule type="expression" dxfId="7287" priority="453">
      <formula>E$9&lt;8/24</formula>
    </cfRule>
  </conditionalFormatting>
  <conditionalFormatting sqref="AL43">
    <cfRule type="iconSet" priority="44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286" priority="472">
      <formula>C$9&gt;=20/24</formula>
    </cfRule>
    <cfRule type="expression" dxfId="7285" priority="473">
      <formula>AND(C$9&gt;=14/24,C$9&lt;20/24)</formula>
    </cfRule>
    <cfRule type="expression" dxfId="7284" priority="474">
      <formula>AND(C$9&gt;=8/24,C$9&lt;14/24)</formula>
    </cfRule>
    <cfRule type="expression" dxfId="7283" priority="475">
      <formula>C$9&lt;8/24</formula>
    </cfRule>
  </conditionalFormatting>
  <conditionalFormatting sqref="A233">
    <cfRule type="expression" dxfId="7282" priority="476">
      <formula>$AH233=0</formula>
    </cfRule>
  </conditionalFormatting>
  <conditionalFormatting sqref="AG245">
    <cfRule type="expression" dxfId="7281" priority="477">
      <formula>B$9&gt;=20/24</formula>
    </cfRule>
    <cfRule type="expression" dxfId="7280" priority="478">
      <formula>AND(B$9&gt;=14/24,B$9&lt;20/24)</formula>
    </cfRule>
    <cfRule type="expression" dxfId="7279" priority="479">
      <formula>AND(B$9&gt;=8/24,B$9&lt;14/24)</formula>
    </cfRule>
    <cfRule type="expression" dxfId="7278" priority="480">
      <formula>B$9&lt;8/24</formula>
    </cfRule>
  </conditionalFormatting>
  <conditionalFormatting sqref="S8">
    <cfRule type="expression" dxfId="7277" priority="445">
      <formula>U$9&gt;=20/24</formula>
    </cfRule>
    <cfRule type="expression" dxfId="7276" priority="446">
      <formula>AND(U$9&gt;=14/24,U$9&lt;20/24)</formula>
    </cfRule>
    <cfRule type="expression" dxfId="7275" priority="447">
      <formula>AND(U$9&gt;=8/24,U$9&lt;14/24)</formula>
    </cfRule>
    <cfRule type="expression" dxfId="7274" priority="448">
      <formula>U$9&lt;8/24</formula>
    </cfRule>
  </conditionalFormatting>
  <conditionalFormatting sqref="AB8">
    <cfRule type="expression" dxfId="7273" priority="441">
      <formula>AD$9&gt;=20/24</formula>
    </cfRule>
    <cfRule type="expression" dxfId="7272" priority="442">
      <formula>AND(AD$9&gt;=14/24,AD$9&lt;20/24)</formula>
    </cfRule>
    <cfRule type="expression" dxfId="7271" priority="443">
      <formula>AND(AD$9&gt;=8/24,AD$9&lt;14/24)</formula>
    </cfRule>
    <cfRule type="expression" dxfId="7270" priority="444">
      <formula>AD$9&lt;8/24</formula>
    </cfRule>
  </conditionalFormatting>
  <conditionalFormatting sqref="AH245:AX245">
    <cfRule type="expression" dxfId="7269" priority="481">
      <formula>AG$9&gt;=20/24</formula>
    </cfRule>
    <cfRule type="expression" dxfId="7268" priority="482">
      <formula>AND(AG$9&gt;=14/24,AG$9&lt;20/24)</formula>
    </cfRule>
    <cfRule type="expression" dxfId="7267" priority="483">
      <formula>AND(AG$9&gt;=8/24,AG$9&lt;14/24)</formula>
    </cfRule>
    <cfRule type="expression" dxfId="7266" priority="484">
      <formula>AG$9&lt;8/24</formula>
    </cfRule>
  </conditionalFormatting>
  <conditionalFormatting sqref="T245">
    <cfRule type="expression" dxfId="7265" priority="485">
      <formula>AX$9&gt;=20/24</formula>
    </cfRule>
    <cfRule type="expression" dxfId="7264" priority="486">
      <formula>AND(AX$9&gt;=14/24,AX$9&lt;20/24)</formula>
    </cfRule>
    <cfRule type="expression" dxfId="7263" priority="487">
      <formula>AND(AX$9&gt;=8/24,AX$9&lt;14/24)</formula>
    </cfRule>
    <cfRule type="expression" dxfId="7262" priority="488">
      <formula>AX$9&lt;8/24</formula>
    </cfRule>
  </conditionalFormatting>
  <conditionalFormatting sqref="A115:A116">
    <cfRule type="expression" dxfId="7261" priority="440">
      <formula>$AH115=0</formula>
    </cfRule>
  </conditionalFormatting>
  <conditionalFormatting sqref="M54:R57 E71:AF71">
    <cfRule type="expression" dxfId="7260" priority="436">
      <formula>E$9&gt;=20/24</formula>
    </cfRule>
    <cfRule type="expression" dxfId="7259" priority="437">
      <formula>AND(E$9&gt;=14/24,E$9&lt;20/24)</formula>
    </cfRule>
    <cfRule type="expression" dxfId="7258" priority="438">
      <formula>AND(E$9&gt;=8/24,E$9&lt;14/24)</formula>
    </cfRule>
    <cfRule type="expression" dxfId="7257" priority="439">
      <formula>E$9&lt;8/24</formula>
    </cfRule>
  </conditionalFormatting>
  <conditionalFormatting sqref="M53:R53">
    <cfRule type="expression" dxfId="7256" priority="432">
      <formula>M$9&gt;=20/24</formula>
    </cfRule>
    <cfRule type="expression" dxfId="7255" priority="433">
      <formula>AND(M$9&gt;=14/24,M$9&lt;20/24)</formula>
    </cfRule>
    <cfRule type="expression" dxfId="7254" priority="434">
      <formula>AND(M$9&gt;=8/24,M$9&lt;14/24)</formula>
    </cfRule>
    <cfRule type="expression" dxfId="7253" priority="435">
      <formula>M$9&lt;8/24</formula>
    </cfRule>
  </conditionalFormatting>
  <conditionalFormatting sqref="M53:R57">
    <cfRule type="expression" dxfId="7252" priority="431">
      <formula>M53&gt;$AG53</formula>
    </cfRule>
  </conditionalFormatting>
  <conditionalFormatting sqref="D86:AF86 X96:AF96 AD100:AF106 X47:AF47 X67:AA67 Z68:AA69 E72:Y73 M100:Y106 AB67:AF69 Z72:AF74">
    <cfRule type="expression" dxfId="7251" priority="427">
      <formula>D$9&gt;=20/24</formula>
    </cfRule>
    <cfRule type="expression" dxfId="7250" priority="428">
      <formula>AND(D$9&gt;=14/24,D$9&lt;20/24)</formula>
    </cfRule>
    <cfRule type="expression" dxfId="7249" priority="429">
      <formula>AND(D$9&gt;=8/24,D$9&lt;14/24)</formula>
    </cfRule>
    <cfRule type="expression" dxfId="7248" priority="430">
      <formula>D$9&lt;8/24</formula>
    </cfRule>
  </conditionalFormatting>
  <conditionalFormatting sqref="X47:AF47 X67:AA67 Z68:AA69 AB67:AF69">
    <cfRule type="expression" dxfId="7247" priority="426">
      <formula>X47&gt;$AG47</formula>
    </cfRule>
  </conditionalFormatting>
  <conditionalFormatting sqref="S53:U57 V53:AF58">
    <cfRule type="expression" dxfId="7246" priority="422">
      <formula>S$9&gt;=20/24</formula>
    </cfRule>
    <cfRule type="expression" dxfId="7245" priority="423">
      <formula>AND(S$9&gt;=14/24,S$9&lt;20/24)</formula>
    </cfRule>
    <cfRule type="expression" dxfId="7244" priority="424">
      <formula>AND(S$9&gt;=8/24,S$9&lt;14/24)</formula>
    </cfRule>
    <cfRule type="expression" dxfId="7243" priority="425">
      <formula>S$9&lt;8/24</formula>
    </cfRule>
  </conditionalFormatting>
  <conditionalFormatting sqref="S53:U57 V53:AF58">
    <cfRule type="expression" dxfId="7242" priority="421">
      <formula>S53&gt;$AG53</formula>
    </cfRule>
  </conditionalFormatting>
  <conditionalFormatting sqref="C97:AF97 D88:AF88">
    <cfRule type="expression" dxfId="7241" priority="417">
      <formula>C$9&gt;=20/24</formula>
    </cfRule>
    <cfRule type="expression" dxfId="7240" priority="418">
      <formula>AND(C$9&gt;=14/24,C$9&lt;20/24)</formula>
    </cfRule>
    <cfRule type="expression" dxfId="7239" priority="419">
      <formula>AND(C$9&gt;=8/24,C$9&lt;14/24)</formula>
    </cfRule>
    <cfRule type="expression" dxfId="7238" priority="420">
      <formula>C$9&lt;8/24</formula>
    </cfRule>
  </conditionalFormatting>
  <conditionalFormatting sqref="T47:W47">
    <cfRule type="expression" dxfId="7237" priority="413">
      <formula>T$9&gt;=20/24</formula>
    </cfRule>
    <cfRule type="expression" dxfId="7236" priority="414">
      <formula>AND(T$9&gt;=14/24,T$9&lt;20/24)</formula>
    </cfRule>
    <cfRule type="expression" dxfId="7235" priority="415">
      <formula>AND(T$9&gt;=8/24,T$9&lt;14/24)</formula>
    </cfRule>
    <cfRule type="expression" dxfId="7234" priority="416">
      <formula>T$9&lt;8/24</formula>
    </cfRule>
  </conditionalFormatting>
  <conditionalFormatting sqref="T47:W47">
    <cfRule type="expression" dxfId="7233" priority="412">
      <formula>T47&gt;$AG47</formula>
    </cfRule>
  </conditionalFormatting>
  <conditionalFormatting sqref="E54:L55">
    <cfRule type="expression" dxfId="7232" priority="408">
      <formula>E$9&gt;=20/24</formula>
    </cfRule>
    <cfRule type="expression" dxfId="7231" priority="409">
      <formula>AND(E$9&gt;=14/24,E$9&lt;20/24)</formula>
    </cfRule>
    <cfRule type="expression" dxfId="7230" priority="410">
      <formula>AND(E$9&gt;=8/24,E$9&lt;14/24)</formula>
    </cfRule>
    <cfRule type="expression" dxfId="7229" priority="411">
      <formula>E$9&lt;8/24</formula>
    </cfRule>
  </conditionalFormatting>
  <conditionalFormatting sqref="E53:L53">
    <cfRule type="expression" dxfId="7228" priority="404">
      <formula>E$9&gt;=20/24</formula>
    </cfRule>
    <cfRule type="expression" dxfId="7227" priority="405">
      <formula>AND(E$9&gt;=14/24,E$9&lt;20/24)</formula>
    </cfRule>
    <cfRule type="expression" dxfId="7226" priority="406">
      <formula>AND(E$9&gt;=8/24,E$9&lt;14/24)</formula>
    </cfRule>
    <cfRule type="expression" dxfId="7225" priority="407">
      <formula>E$9&lt;8/24</formula>
    </cfRule>
  </conditionalFormatting>
  <conditionalFormatting sqref="E53:L55">
    <cfRule type="expression" dxfId="7224" priority="403">
      <formula>E53&gt;$AG53</formula>
    </cfRule>
  </conditionalFormatting>
  <conditionalFormatting sqref="AG70 AG87 E100:L106 U67:W69 X68:Y69">
    <cfRule type="expression" dxfId="7223" priority="399">
      <formula>E$9&gt;=20/24</formula>
    </cfRule>
    <cfRule type="expression" dxfId="7222" priority="400">
      <formula>AND(E$9&gt;=14/24,E$9&lt;20/24)</formula>
    </cfRule>
    <cfRule type="expression" dxfId="7221" priority="401">
      <formula>AND(E$9&gt;=8/24,E$9&lt;14/24)</formula>
    </cfRule>
    <cfRule type="expression" dxfId="7220" priority="402">
      <formula>E$9&lt;8/24</formula>
    </cfRule>
  </conditionalFormatting>
  <conditionalFormatting sqref="AG48 AG66 AG70 U67:W69 X68:Y69">
    <cfRule type="expression" dxfId="7219" priority="398">
      <formula>U48&gt;$AG48</formula>
    </cfRule>
  </conditionalFormatting>
  <conditionalFormatting sqref="A43">
    <cfRule type="expression" dxfId="7218" priority="392">
      <formula>$AH43=0</formula>
    </cfRule>
  </conditionalFormatting>
  <conditionalFormatting sqref="X91:AF95">
    <cfRule type="expression" dxfId="7217" priority="388">
      <formula>X$9&gt;=20/24</formula>
    </cfRule>
    <cfRule type="expression" dxfId="7216" priority="389">
      <formula>AND(X$9&gt;=14/24,X$9&lt;20/24)</formula>
    </cfRule>
    <cfRule type="expression" dxfId="7215" priority="390">
      <formula>AND(X$9&gt;=8/24,X$9&lt;14/24)</formula>
    </cfRule>
    <cfRule type="expression" dxfId="7214" priority="391">
      <formula>X$9&lt;8/24</formula>
    </cfRule>
  </conditionalFormatting>
  <conditionalFormatting sqref="AL45 AL41 AL22:AL32 AL38:AL39 AL7:AL15 AL17:AL20 AL34:AL36">
    <cfRule type="iconSet" priority="489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7213" priority="384">
      <formula>E$9&gt;=20/24</formula>
    </cfRule>
    <cfRule type="expression" dxfId="7212" priority="385">
      <formula>AND(E$9&gt;=14/24,E$9&lt;20/24)</formula>
    </cfRule>
    <cfRule type="expression" dxfId="7211" priority="386">
      <formula>AND(E$9&gt;=8/24,E$9&lt;14/24)</formula>
    </cfRule>
    <cfRule type="expression" dxfId="7210" priority="387">
      <formula>E$9&lt;8/24</formula>
    </cfRule>
  </conditionalFormatting>
  <conditionalFormatting sqref="E49:AF51">
    <cfRule type="expression" dxfId="7209" priority="383">
      <formula>E49&gt;$AG49</formula>
    </cfRule>
  </conditionalFormatting>
  <conditionalFormatting sqref="AG52">
    <cfRule type="expression" dxfId="7208" priority="379">
      <formula>AG$9&gt;=20/24</formula>
    </cfRule>
    <cfRule type="expression" dxfId="7207" priority="380">
      <formula>AND(AG$9&gt;=14/24,AG$9&lt;20/24)</formula>
    </cfRule>
    <cfRule type="expression" dxfId="7206" priority="381">
      <formula>AND(AG$9&gt;=8/24,AG$9&lt;14/24)</formula>
    </cfRule>
    <cfRule type="expression" dxfId="7205" priority="382">
      <formula>AG$9&lt;8/24</formula>
    </cfRule>
  </conditionalFormatting>
  <conditionalFormatting sqref="AG52">
    <cfRule type="expression" dxfId="7204" priority="378">
      <formula>AG52&gt;$AG52</formula>
    </cfRule>
  </conditionalFormatting>
  <conditionalFormatting sqref="C107:AF107">
    <cfRule type="expression" dxfId="7203" priority="374">
      <formula>C$9&gt;=20/24</formula>
    </cfRule>
    <cfRule type="expression" dxfId="7202" priority="375">
      <formula>AND(C$9&gt;=14/24,C$9&lt;20/24)</formula>
    </cfRule>
    <cfRule type="expression" dxfId="7201" priority="376">
      <formula>AND(C$9&gt;=8/24,C$9&lt;14/24)</formula>
    </cfRule>
    <cfRule type="expression" dxfId="7200" priority="377">
      <formula>C$9&lt;8/24</formula>
    </cfRule>
  </conditionalFormatting>
  <conditionalFormatting sqref="AL40">
    <cfRule type="iconSet" priority="373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7199" priority="372">
      <formula>$AH40=0</formula>
    </cfRule>
  </conditionalFormatting>
  <conditionalFormatting sqref="A90">
    <cfRule type="expression" dxfId="7198" priority="370">
      <formula>$AH90=0</formula>
    </cfRule>
  </conditionalFormatting>
  <conditionalFormatting sqref="A87">
    <cfRule type="expression" dxfId="7197" priority="371">
      <formula>$AH87=0</formula>
    </cfRule>
  </conditionalFormatting>
  <conditionalFormatting sqref="D110:AF110">
    <cfRule type="expression" dxfId="7196" priority="366">
      <formula>D$9&gt;=20/24</formula>
    </cfRule>
    <cfRule type="expression" dxfId="7195" priority="367">
      <formula>AND(D$9&gt;=14/24,D$9&lt;20/24)</formula>
    </cfRule>
    <cfRule type="expression" dxfId="7194" priority="368">
      <formula>AND(D$9&gt;=8/24,D$9&lt;14/24)</formula>
    </cfRule>
    <cfRule type="expression" dxfId="7193" priority="369">
      <formula>D$9&lt;8/24</formula>
    </cfRule>
  </conditionalFormatting>
  <conditionalFormatting sqref="A110">
    <cfRule type="expression" dxfId="7192" priority="365">
      <formula>$AH110=0</formula>
    </cfRule>
  </conditionalFormatting>
  <conditionalFormatting sqref="A21">
    <cfRule type="expression" dxfId="7191" priority="363">
      <formula>$AH21=0</formula>
    </cfRule>
  </conditionalFormatting>
  <conditionalFormatting sqref="AL21">
    <cfRule type="iconSet" priority="364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7190" priority="361">
      <formula>$AH37=0</formula>
    </cfRule>
  </conditionalFormatting>
  <conditionalFormatting sqref="AL37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Z99:AC99">
    <cfRule type="expression" dxfId="7189" priority="357">
      <formula>Z$9&gt;=20/24</formula>
    </cfRule>
    <cfRule type="expression" dxfId="7188" priority="358">
      <formula>AND(Z$9&gt;=14/24,Z$9&lt;20/24)</formula>
    </cfRule>
    <cfRule type="expression" dxfId="7187" priority="359">
      <formula>AND(Z$9&gt;=8/24,Z$9&lt;14/24)</formula>
    </cfRule>
    <cfRule type="expression" dxfId="7186" priority="360">
      <formula>Z$9&lt;8/24</formula>
    </cfRule>
  </conditionalFormatting>
  <conditionalFormatting sqref="Z100:AC106">
    <cfRule type="expression" dxfId="7185" priority="353">
      <formula>Z$9&gt;=20/24</formula>
    </cfRule>
    <cfRule type="expression" dxfId="7184" priority="354">
      <formula>AND(Z$9&gt;=14/24,Z$9&lt;20/24)</formula>
    </cfRule>
    <cfRule type="expression" dxfId="7183" priority="355">
      <formula>AND(Z$9&gt;=8/24,Z$9&lt;14/24)</formula>
    </cfRule>
    <cfRule type="expression" dxfId="7182" priority="356">
      <formula>Z$9&lt;8/24</formula>
    </cfRule>
  </conditionalFormatting>
  <conditionalFormatting sqref="C109 C111:C116 Y34:AF43 Y17:AF32">
    <cfRule type="expression" dxfId="7181" priority="349">
      <formula>C$9&gt;=20/24</formula>
    </cfRule>
    <cfRule type="expression" dxfId="7180" priority="350">
      <formula>AND(C$9&gt;=14/24,C$9&lt;20/24)</formula>
    </cfRule>
    <cfRule type="expression" dxfId="7179" priority="351">
      <formula>AND(C$9&gt;=8/24,C$9&lt;14/24)</formula>
    </cfRule>
    <cfRule type="expression" dxfId="7178" priority="352">
      <formula>C$9&lt;8/24</formula>
    </cfRule>
  </conditionalFormatting>
  <conditionalFormatting sqref="C47:S47">
    <cfRule type="expression" dxfId="7177" priority="345">
      <formula>C$9&gt;=20/24</formula>
    </cfRule>
    <cfRule type="expression" dxfId="7176" priority="346">
      <formula>AND(C$9&gt;=14/24,C$9&lt;20/24)</formula>
    </cfRule>
    <cfRule type="expression" dxfId="7175" priority="347">
      <formula>AND(C$9&gt;=8/24,C$9&lt;14/24)</formula>
    </cfRule>
    <cfRule type="expression" dxfId="7174" priority="348">
      <formula>C$9&lt;8/24</formula>
    </cfRule>
  </conditionalFormatting>
  <conditionalFormatting sqref="C47:S47 Y34:AF43 Y17:AF32">
    <cfRule type="expression" dxfId="7173" priority="344">
      <formula>C17&gt;$AG17</formula>
    </cfRule>
  </conditionalFormatting>
  <conditionalFormatting sqref="C99:D99">
    <cfRule type="expression" dxfId="7172" priority="340">
      <formula>C$9&gt;=20/24</formula>
    </cfRule>
    <cfRule type="expression" dxfId="7171" priority="341">
      <formula>AND(C$9&gt;=14/24,C$9&lt;20/24)</formula>
    </cfRule>
    <cfRule type="expression" dxfId="7170" priority="342">
      <formula>AND(C$9&gt;=8/24,C$9&lt;14/24)</formula>
    </cfRule>
    <cfRule type="expression" dxfId="7169" priority="343">
      <formula>C$9&lt;8/24</formula>
    </cfRule>
  </conditionalFormatting>
  <conditionalFormatting sqref="C86 C96:W96 C83:AF85 E67:T69 E74:Y76 Z75:AF76">
    <cfRule type="expression" dxfId="7168" priority="336">
      <formula>C$9&gt;=20/24</formula>
    </cfRule>
    <cfRule type="expression" dxfId="7167" priority="337">
      <formula>AND(C$9&gt;=14/24,C$9&lt;20/24)</formula>
    </cfRule>
    <cfRule type="expression" dxfId="7166" priority="338">
      <formula>AND(C$9&gt;=8/24,C$9&lt;14/24)</formula>
    </cfRule>
    <cfRule type="expression" dxfId="7165" priority="339">
      <formula>C$9&lt;8/24</formula>
    </cfRule>
  </conditionalFormatting>
  <conditionalFormatting sqref="I56:L57 E67:T69">
    <cfRule type="expression" dxfId="7164" priority="335">
      <formula>E56&gt;$AG56</formula>
    </cfRule>
  </conditionalFormatting>
  <conditionalFormatting sqref="I58:U58">
    <cfRule type="expression" dxfId="7163" priority="331">
      <formula>I$9&gt;=20/24</formula>
    </cfRule>
    <cfRule type="expression" dxfId="7162" priority="332">
      <formula>AND(I$9&gt;=14/24,I$9&lt;20/24)</formula>
    </cfRule>
    <cfRule type="expression" dxfId="7161" priority="333">
      <formula>AND(I$9&gt;=8/24,I$9&lt;14/24)</formula>
    </cfRule>
    <cfRule type="expression" dxfId="7160" priority="334">
      <formula>I$9&lt;8/24</formula>
    </cfRule>
  </conditionalFormatting>
  <conditionalFormatting sqref="I58:U58">
    <cfRule type="expression" dxfId="7159" priority="330">
      <formula>I58&gt;$AG58</formula>
    </cfRule>
  </conditionalFormatting>
  <conditionalFormatting sqref="C71:D71 C54:D57 E56:H57">
    <cfRule type="expression" dxfId="7158" priority="259">
      <formula>C$9&gt;=20/24</formula>
    </cfRule>
    <cfRule type="expression" dxfId="7157" priority="260">
      <formula>AND(C$9&gt;=14/24,C$9&lt;20/24)</formula>
    </cfRule>
    <cfRule type="expression" dxfId="7156" priority="261">
      <formula>AND(C$9&gt;=8/24,C$9&lt;14/24)</formula>
    </cfRule>
    <cfRule type="expression" dxfId="7155" priority="262">
      <formula>C$9&lt;8/24</formula>
    </cfRule>
  </conditionalFormatting>
  <conditionalFormatting sqref="C98:AF98 L70:AF70 C87:AF87 C89:AF89">
    <cfRule type="expression" dxfId="7154" priority="326">
      <formula>C$9&gt;=20/24</formula>
    </cfRule>
    <cfRule type="expression" dxfId="7153" priority="327">
      <formula>AND(C$9&gt;=14/24,C$9&lt;20/24)</formula>
    </cfRule>
    <cfRule type="expression" dxfId="7152" priority="328">
      <formula>AND(C$9&gt;=8/24,C$9&lt;14/24)</formula>
    </cfRule>
    <cfRule type="expression" dxfId="7151" priority="329">
      <formula>C$9&lt;8/24</formula>
    </cfRule>
  </conditionalFormatting>
  <conditionalFormatting sqref="L70:AF70 C48:AF48 C65:AF66">
    <cfRule type="expression" dxfId="7150" priority="325">
      <formula>C48&gt;$AG48</formula>
    </cfRule>
  </conditionalFormatting>
  <conditionalFormatting sqref="C82:AF82">
    <cfRule type="expression" dxfId="7149" priority="321">
      <formula>C$9&gt;=20/24</formula>
    </cfRule>
    <cfRule type="expression" dxfId="7148" priority="322">
      <formula>AND(C$9&gt;=14/24,C$9&lt;20/24)</formula>
    </cfRule>
    <cfRule type="expression" dxfId="7147" priority="323">
      <formula>AND(C$9&gt;=8/24,C$9&lt;14/24)</formula>
    </cfRule>
    <cfRule type="expression" dxfId="7146" priority="324">
      <formula>C$9&lt;8/24</formula>
    </cfRule>
  </conditionalFormatting>
  <conditionalFormatting sqref="C91:W95">
    <cfRule type="expression" dxfId="7145" priority="317">
      <formula>C$9&gt;=20/24</formula>
    </cfRule>
    <cfRule type="expression" dxfId="7144" priority="318">
      <formula>AND(C$9&gt;=14/24,C$9&lt;20/24)</formula>
    </cfRule>
    <cfRule type="expression" dxfId="7143" priority="319">
      <formula>AND(C$9&gt;=8/24,C$9&lt;14/24)</formula>
    </cfRule>
    <cfRule type="expression" dxfId="7142" priority="320">
      <formula>C$9&lt;8/24</formula>
    </cfRule>
  </conditionalFormatting>
  <conditionalFormatting sqref="C52:AF52">
    <cfRule type="expression" dxfId="7141" priority="313">
      <formula>C$9&gt;=20/24</formula>
    </cfRule>
    <cfRule type="expression" dxfId="7140" priority="314">
      <formula>AND(C$9&gt;=14/24,C$9&lt;20/24)</formula>
    </cfRule>
    <cfRule type="expression" dxfId="7139" priority="315">
      <formula>AND(C$9&gt;=8/24,C$9&lt;14/24)</formula>
    </cfRule>
    <cfRule type="expression" dxfId="7138" priority="316">
      <formula>C$9&lt;8/24</formula>
    </cfRule>
  </conditionalFormatting>
  <conditionalFormatting sqref="C52:AF52">
    <cfRule type="expression" dxfId="7137" priority="312">
      <formula>C52&gt;$AG52</formula>
    </cfRule>
  </conditionalFormatting>
  <conditionalFormatting sqref="C49:D51">
    <cfRule type="expression" dxfId="7136" priority="227">
      <formula>C$9&gt;=20/24</formula>
    </cfRule>
    <cfRule type="expression" dxfId="7135" priority="228">
      <formula>AND(C$9&gt;=14/24,C$9&lt;20/24)</formula>
    </cfRule>
    <cfRule type="expression" dxfId="7134" priority="229">
      <formula>AND(C$9&gt;=8/24,C$9&lt;14/24)</formula>
    </cfRule>
    <cfRule type="expression" dxfId="7133" priority="230">
      <formula>C$9&lt;8/24</formula>
    </cfRule>
  </conditionalFormatting>
  <conditionalFormatting sqref="C110">
    <cfRule type="expression" dxfId="7132" priority="304">
      <formula>C$9&gt;=20/24</formula>
    </cfRule>
    <cfRule type="expression" dxfId="7131" priority="305">
      <formula>AND(C$9&gt;=14/24,C$9&lt;20/24)</formula>
    </cfRule>
    <cfRule type="expression" dxfId="7130" priority="306">
      <formula>AND(C$9&gt;=8/24,C$9&lt;14/24)</formula>
    </cfRule>
    <cfRule type="expression" dxfId="7129" priority="307">
      <formula>C$9&lt;8/24</formula>
    </cfRule>
  </conditionalFormatting>
  <conditionalFormatting sqref="Y59:AF64">
    <cfRule type="expression" dxfId="7128" priority="300">
      <formula>Y$9&gt;=20/24</formula>
    </cfRule>
    <cfRule type="expression" dxfId="7127" priority="301">
      <formula>AND(Y$9&gt;=14/24,Y$9&lt;20/24)</formula>
    </cfRule>
    <cfRule type="expression" dxfId="7126" priority="302">
      <formula>AND(Y$9&gt;=8/24,Y$9&lt;14/24)</formula>
    </cfRule>
    <cfRule type="expression" dxfId="7125" priority="303">
      <formula>Y$9&lt;8/24</formula>
    </cfRule>
  </conditionalFormatting>
  <conditionalFormatting sqref="Y59:AF64">
    <cfRule type="expression" dxfId="7124" priority="299">
      <formula>Y59&gt;$AG59</formula>
    </cfRule>
  </conditionalFormatting>
  <conditionalFormatting sqref="Y45:AF45 Y13:AF15">
    <cfRule type="expression" dxfId="7123" priority="298">
      <formula>Y13&gt;$AG13</formula>
    </cfRule>
  </conditionalFormatting>
  <conditionalFormatting sqref="Y12:AF12">
    <cfRule type="expression" dxfId="7122" priority="294">
      <formula>Y$9&gt;=20/24</formula>
    </cfRule>
    <cfRule type="expression" dxfId="7121" priority="295">
      <formula>AND(Y$9&gt;=14/24,Y$9&lt;20/24)</formula>
    </cfRule>
    <cfRule type="expression" dxfId="7120" priority="296">
      <formula>AND(Y$9&gt;=8/24,Y$9&lt;14/24)</formula>
    </cfRule>
    <cfRule type="expression" dxfId="7119" priority="297">
      <formula>Y$9&lt;8/24</formula>
    </cfRule>
  </conditionalFormatting>
  <conditionalFormatting sqref="Y12:AF12">
    <cfRule type="expression" dxfId="7118" priority="293">
      <formula>Y12&gt;$AG12</formula>
    </cfRule>
  </conditionalFormatting>
  <conditionalFormatting sqref="Y13:AF15">
    <cfRule type="expression" dxfId="7117" priority="289">
      <formula>Y$9&gt;=20/24</formula>
    </cfRule>
    <cfRule type="expression" dxfId="7116" priority="290">
      <formula>AND(Y$9&gt;=14/24,Y$9&lt;20/24)</formula>
    </cfRule>
    <cfRule type="expression" dxfId="7115" priority="291">
      <formula>AND(Y$9&gt;=8/24,Y$9&lt;14/24)</formula>
    </cfRule>
    <cfRule type="expression" dxfId="7114" priority="292">
      <formula>Y$9&lt;8/24</formula>
    </cfRule>
  </conditionalFormatting>
  <conditionalFormatting sqref="Y45:AF45">
    <cfRule type="expression" dxfId="7113" priority="285">
      <formula>Y$9&gt;=20/24</formula>
    </cfRule>
    <cfRule type="expression" dxfId="7112" priority="286">
      <formula>AND(Y$9&gt;=14/24,Y$9&lt;20/24)</formula>
    </cfRule>
    <cfRule type="expression" dxfId="7111" priority="287">
      <formula>AND(Y$9&gt;=8/24,Y$9&lt;14/24)</formula>
    </cfRule>
    <cfRule type="expression" dxfId="7110" priority="288">
      <formula>Y$9&lt;8/24</formula>
    </cfRule>
  </conditionalFormatting>
  <conditionalFormatting sqref="E77:AF81">
    <cfRule type="expression" dxfId="7109" priority="281">
      <formula>E$9&gt;=20/24</formula>
    </cfRule>
    <cfRule type="expression" dxfId="7108" priority="282">
      <formula>AND(E$9&gt;=14/24,E$9&lt;20/24)</formula>
    </cfRule>
    <cfRule type="expression" dxfId="7107" priority="283">
      <formula>AND(E$9&gt;=8/24,E$9&lt;14/24)</formula>
    </cfRule>
    <cfRule type="expression" dxfId="7106" priority="284">
      <formula>E$9&lt;8/24</formula>
    </cfRule>
  </conditionalFormatting>
  <conditionalFormatting sqref="AL78:AN78 AL84:AN84 AN79:AN80">
    <cfRule type="expression" dxfId="7105" priority="277">
      <formula>AL$9&gt;=20/24</formula>
    </cfRule>
    <cfRule type="expression" dxfId="7104" priority="278">
      <formula>AND(AL$9&gt;=14/24,AL$9&lt;20/24)</formula>
    </cfRule>
    <cfRule type="expression" dxfId="7103" priority="279">
      <formula>AND(AL$9&gt;=8/24,AL$9&lt;14/24)</formula>
    </cfRule>
    <cfRule type="expression" dxfId="7102" priority="280">
      <formula>AL$9&lt;8/24</formula>
    </cfRule>
  </conditionalFormatting>
  <conditionalFormatting sqref="AN81:AN82">
    <cfRule type="expression" dxfId="7101" priority="273">
      <formula>AN$9&gt;=20/24</formula>
    </cfRule>
    <cfRule type="expression" dxfId="7100" priority="274">
      <formula>AND(AN$9&gt;=14/24,AN$9&lt;20/24)</formula>
    </cfRule>
    <cfRule type="expression" dxfId="7099" priority="275">
      <formula>AND(AN$9&gt;=8/24,AN$9&lt;14/24)</formula>
    </cfRule>
    <cfRule type="expression" dxfId="7098" priority="276">
      <formula>AN$9&lt;8/24</formula>
    </cfRule>
  </conditionalFormatting>
  <conditionalFormatting sqref="AL79:AM83">
    <cfRule type="expression" dxfId="7097" priority="490">
      <formula>AJ$9&gt;=20/24</formula>
    </cfRule>
    <cfRule type="expression" dxfId="7096" priority="491">
      <formula>AND(AJ$9&gt;=14/24,AJ$9&lt;20/24)</formula>
    </cfRule>
    <cfRule type="expression" dxfId="7095" priority="492">
      <formula>AND(AJ$9&gt;=8/24,AJ$9&lt;14/24)</formula>
    </cfRule>
    <cfRule type="expression" dxfId="7094" priority="493">
      <formula>AJ$9&lt;8/24</formula>
    </cfRule>
  </conditionalFormatting>
  <conditionalFormatting sqref="A117">
    <cfRule type="expression" dxfId="7093" priority="272">
      <formula>$AH117=0</formula>
    </cfRule>
  </conditionalFormatting>
  <conditionalFormatting sqref="C53:D53">
    <cfRule type="expression" dxfId="7092" priority="255">
      <formula>C$9&gt;=20/24</formula>
    </cfRule>
    <cfRule type="expression" dxfId="7091" priority="256">
      <formula>AND(C$9&gt;=14/24,C$9&lt;20/24)</formula>
    </cfRule>
    <cfRule type="expression" dxfId="7090" priority="257">
      <formula>AND(C$9&gt;=8/24,C$9&lt;14/24)</formula>
    </cfRule>
    <cfRule type="expression" dxfId="7089" priority="258">
      <formula>C$9&lt;8/24</formula>
    </cfRule>
  </conditionalFormatting>
  <conditionalFormatting sqref="C53:D57 E56:H57">
    <cfRule type="expression" dxfId="7088" priority="254">
      <formula>C53&gt;$AG53</formula>
    </cfRule>
  </conditionalFormatting>
  <conditionalFormatting sqref="C72:D74 D67:D69 C100:D106">
    <cfRule type="expression" dxfId="7087" priority="250">
      <formula>C$9&gt;=20/24</formula>
    </cfRule>
    <cfRule type="expression" dxfId="7086" priority="251">
      <formula>AND(C$9&gt;=14/24,C$9&lt;20/24)</formula>
    </cfRule>
    <cfRule type="expression" dxfId="7085" priority="252">
      <formula>AND(C$9&gt;=8/24,C$9&lt;14/24)</formula>
    </cfRule>
    <cfRule type="expression" dxfId="7084" priority="253">
      <formula>C$9&lt;8/24</formula>
    </cfRule>
  </conditionalFormatting>
  <conditionalFormatting sqref="D67:D69">
    <cfRule type="expression" dxfId="7083" priority="249">
      <formula>D67&gt;$AG67</formula>
    </cfRule>
  </conditionalFormatting>
  <conditionalFormatting sqref="C88">
    <cfRule type="expression" dxfId="7082" priority="245">
      <formula>C$9&gt;=20/24</formula>
    </cfRule>
    <cfRule type="expression" dxfId="7081" priority="246">
      <formula>AND(C$9&gt;=14/24,C$9&lt;20/24)</formula>
    </cfRule>
    <cfRule type="expression" dxfId="7080" priority="247">
      <formula>AND(C$9&gt;=8/24,C$9&lt;14/24)</formula>
    </cfRule>
    <cfRule type="expression" dxfId="7079" priority="248">
      <formula>C$9&lt;8/24</formula>
    </cfRule>
  </conditionalFormatting>
  <conditionalFormatting sqref="C46:AF46">
    <cfRule type="expression" dxfId="7078" priority="241">
      <formula>C$9&gt;=20/24</formula>
    </cfRule>
    <cfRule type="expression" dxfId="7077" priority="242">
      <formula>AND(C$9&gt;=14/24,C$9&lt;20/24)</formula>
    </cfRule>
    <cfRule type="expression" dxfId="7076" priority="243">
      <formula>AND(C$9&gt;=8/24,C$9&lt;14/24)</formula>
    </cfRule>
    <cfRule type="expression" dxfId="7075" priority="244">
      <formula>C$9&lt;8/24</formula>
    </cfRule>
  </conditionalFormatting>
  <conditionalFormatting sqref="C46:AF46">
    <cfRule type="expression" dxfId="7074" priority="240">
      <formula>C46&gt;$AG46</formula>
    </cfRule>
  </conditionalFormatting>
  <conditionalFormatting sqref="C58:H58">
    <cfRule type="expression" dxfId="7073" priority="236">
      <formula>C$9&gt;=20/24</formula>
    </cfRule>
    <cfRule type="expression" dxfId="7072" priority="237">
      <formula>AND(C$9&gt;=14/24,C$9&lt;20/24)</formula>
    </cfRule>
    <cfRule type="expression" dxfId="7071" priority="238">
      <formula>AND(C$9&gt;=8/24,C$9&lt;14/24)</formula>
    </cfRule>
    <cfRule type="expression" dxfId="7070" priority="239">
      <formula>C$9&lt;8/24</formula>
    </cfRule>
  </conditionalFormatting>
  <conditionalFormatting sqref="C58:H58">
    <cfRule type="expression" dxfId="7069" priority="235">
      <formula>C58&gt;$AG58</formula>
    </cfRule>
  </conditionalFormatting>
  <conditionalFormatting sqref="C49:D51">
    <cfRule type="expression" dxfId="7068" priority="226">
      <formula>C49&gt;$AG49</formula>
    </cfRule>
  </conditionalFormatting>
  <conditionalFormatting sqref="C75:D76">
    <cfRule type="expression" dxfId="7067" priority="214">
      <formula>C$9&gt;=20/24</formula>
    </cfRule>
    <cfRule type="expression" dxfId="7066" priority="215">
      <formula>AND(C$9&gt;=14/24,C$9&lt;20/24)</formula>
    </cfRule>
    <cfRule type="expression" dxfId="7065" priority="216">
      <formula>AND(C$9&gt;=8/24,C$9&lt;14/24)</formula>
    </cfRule>
    <cfRule type="expression" dxfId="7064" priority="217">
      <formula>C$9&lt;8/24</formula>
    </cfRule>
  </conditionalFormatting>
  <conditionalFormatting sqref="C59:X59">
    <cfRule type="expression" dxfId="7063" priority="192">
      <formula>C$9&gt;=20/24</formula>
    </cfRule>
    <cfRule type="expression" dxfId="7062" priority="193">
      <formula>AND(C$9&gt;=14/24,C$9&lt;20/24)</formula>
    </cfRule>
    <cfRule type="expression" dxfId="7061" priority="194">
      <formula>AND(C$9&gt;=8/24,C$9&lt;14/24)</formula>
    </cfRule>
    <cfRule type="expression" dxfId="7060" priority="195">
      <formula>C$9&lt;8/24</formula>
    </cfRule>
  </conditionalFormatting>
  <conditionalFormatting sqref="C59:X59">
    <cfRule type="expression" dxfId="7059" priority="191">
      <formula>C59&gt;$AG59</formula>
    </cfRule>
  </conditionalFormatting>
  <conditionalFormatting sqref="C77:D81">
    <cfRule type="expression" dxfId="7058" priority="187">
      <formula>C$9&gt;=20/24</formula>
    </cfRule>
    <cfRule type="expression" dxfId="7057" priority="188">
      <formula>AND(C$9&gt;=14/24,C$9&lt;20/24)</formula>
    </cfRule>
    <cfRule type="expression" dxfId="7056" priority="189">
      <formula>AND(C$9&gt;=8/24,C$9&lt;14/24)</formula>
    </cfRule>
    <cfRule type="expression" dxfId="7055" priority="190">
      <formula>C$9&lt;8/24</formula>
    </cfRule>
  </conditionalFormatting>
  <conditionalFormatting sqref="A11">
    <cfRule type="expression" dxfId="7054" priority="186">
      <formula>$AH11=0</formula>
    </cfRule>
  </conditionalFormatting>
  <conditionalFormatting sqref="Y11:AF11">
    <cfRule type="expression" dxfId="7053" priority="182">
      <formula>Y$9&gt;=20/24</formula>
    </cfRule>
    <cfRule type="expression" dxfId="7052" priority="183">
      <formula>AND(Y$9&gt;=14/24,Y$9&lt;20/24)</formula>
    </cfRule>
    <cfRule type="expression" dxfId="7051" priority="184">
      <formula>AND(Y$9&gt;=8/24,Y$9&lt;14/24)</formula>
    </cfRule>
    <cfRule type="expression" dxfId="7050" priority="185">
      <formula>Y$9&lt;8/24</formula>
    </cfRule>
  </conditionalFormatting>
  <conditionalFormatting sqref="Y11:AF11">
    <cfRule type="expression" dxfId="7049" priority="181">
      <formula>Y11&gt;$AG11</formula>
    </cfRule>
  </conditionalFormatting>
  <conditionalFormatting sqref="A16">
    <cfRule type="expression" dxfId="7048" priority="174">
      <formula>$AH16=0</formula>
    </cfRule>
  </conditionalFormatting>
  <conditionalFormatting sqref="AL16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Y16:AF16">
    <cfRule type="expression" dxfId="7047" priority="170">
      <formula>Y$9&gt;=20/24</formula>
    </cfRule>
    <cfRule type="expression" dxfId="7046" priority="171">
      <formula>AND(Y$9&gt;=14/24,Y$9&lt;20/24)</formula>
    </cfRule>
    <cfRule type="expression" dxfId="7045" priority="172">
      <formula>AND(Y$9&gt;=8/24,Y$9&lt;14/24)</formula>
    </cfRule>
    <cfRule type="expression" dxfId="7044" priority="173">
      <formula>Y$9&lt;8/24</formula>
    </cfRule>
  </conditionalFormatting>
  <conditionalFormatting sqref="Y16:AF16">
    <cfRule type="expression" dxfId="7043" priority="169">
      <formula>Y16&gt;$AG16</formula>
    </cfRule>
  </conditionalFormatting>
  <conditionalFormatting sqref="A33">
    <cfRule type="expression" dxfId="7042" priority="162">
      <formula>$AH33=0</formula>
    </cfRule>
  </conditionalFormatting>
  <conditionalFormatting sqref="AL33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Y33:AF33">
    <cfRule type="expression" dxfId="7041" priority="158">
      <formula>Y$9&gt;=20/24</formula>
    </cfRule>
    <cfRule type="expression" dxfId="7040" priority="159">
      <formula>AND(Y$9&gt;=14/24,Y$9&lt;20/24)</formula>
    </cfRule>
    <cfRule type="expression" dxfId="7039" priority="160">
      <formula>AND(Y$9&gt;=8/24,Y$9&lt;14/24)</formula>
    </cfRule>
    <cfRule type="expression" dxfId="7038" priority="161">
      <formula>Y$9&lt;8/24</formula>
    </cfRule>
  </conditionalFormatting>
  <conditionalFormatting sqref="Y33:AF33">
    <cfRule type="expression" dxfId="7037" priority="157">
      <formula>Y33&gt;$AG33</formula>
    </cfRule>
  </conditionalFormatting>
  <conditionalFormatting sqref="A44">
    <cfRule type="expression" dxfId="7036" priority="150">
      <formula>$AH44=0</formula>
    </cfRule>
  </conditionalFormatting>
  <conditionalFormatting sqref="AL44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Y44:AF44">
    <cfRule type="expression" dxfId="7035" priority="149">
      <formula>Y44&gt;$AG44</formula>
    </cfRule>
  </conditionalFormatting>
  <conditionalFormatting sqref="Y44:AF44">
    <cfRule type="expression" dxfId="7034" priority="145">
      <formula>Y$9&gt;=20/24</formula>
    </cfRule>
    <cfRule type="expression" dxfId="7033" priority="146">
      <formula>AND(Y$9&gt;=14/24,Y$9&lt;20/24)</formula>
    </cfRule>
    <cfRule type="expression" dxfId="7032" priority="147">
      <formula>AND(Y$9&gt;=8/24,Y$9&lt;14/24)</formula>
    </cfRule>
    <cfRule type="expression" dxfId="7031" priority="148">
      <formula>Y$9&lt;8/24</formula>
    </cfRule>
  </conditionalFormatting>
  <conditionalFormatting sqref="D117:AF117">
    <cfRule type="expression" dxfId="7030" priority="136">
      <formula>D$9&gt;=20/24</formula>
    </cfRule>
    <cfRule type="expression" dxfId="7029" priority="137">
      <formula>AND(D$9&gt;=14/24,D$9&lt;20/24)</formula>
    </cfRule>
    <cfRule type="expression" dxfId="7028" priority="138">
      <formula>AND(D$9&gt;=8/24,D$9&lt;14/24)</formula>
    </cfRule>
    <cfRule type="expression" dxfId="7027" priority="139">
      <formula>D$9&lt;8/24</formula>
    </cfRule>
  </conditionalFormatting>
  <conditionalFormatting sqref="C117">
    <cfRule type="expression" dxfId="7026" priority="132">
      <formula>C$9&gt;=20/24</formula>
    </cfRule>
    <cfRule type="expression" dxfId="7025" priority="133">
      <formula>AND(C$9&gt;=14/24,C$9&lt;20/24)</formula>
    </cfRule>
    <cfRule type="expression" dxfId="7024" priority="134">
      <formula>AND(C$9&gt;=8/24,C$9&lt;14/24)</formula>
    </cfRule>
    <cfRule type="expression" dxfId="7023" priority="135">
      <formula>C$9&lt;8/24</formula>
    </cfRule>
  </conditionalFormatting>
  <conditionalFormatting sqref="B109 B111:B116">
    <cfRule type="expression" dxfId="7022" priority="124">
      <formula>B$9&gt;=20/24</formula>
    </cfRule>
    <cfRule type="expression" dxfId="7021" priority="125">
      <formula>AND(B$9&gt;=14/24,B$9&lt;20/24)</formula>
    </cfRule>
    <cfRule type="expression" dxfId="7020" priority="126">
      <formula>AND(B$9&gt;=8/24,B$9&lt;14/24)</formula>
    </cfRule>
    <cfRule type="expression" dxfId="7019" priority="127">
      <formula>B$9&lt;8/24</formula>
    </cfRule>
  </conditionalFormatting>
  <conditionalFormatting sqref="B99">
    <cfRule type="expression" dxfId="7018" priority="120">
      <formula>B$9&gt;=20/24</formula>
    </cfRule>
    <cfRule type="expression" dxfId="7017" priority="121">
      <formula>AND(B$9&gt;=14/24,B$9&lt;20/24)</formula>
    </cfRule>
    <cfRule type="expression" dxfId="7016" priority="122">
      <formula>AND(B$9&gt;=8/24,B$9&lt;14/24)</formula>
    </cfRule>
    <cfRule type="expression" dxfId="7015" priority="123">
      <formula>B$9&lt;8/24</formula>
    </cfRule>
  </conditionalFormatting>
  <conditionalFormatting sqref="B71 B54:B57">
    <cfRule type="expression" dxfId="7014" priority="116">
      <formula>B$9&gt;=20/24</formula>
    </cfRule>
    <cfRule type="expression" dxfId="7013" priority="117">
      <formula>AND(B$9&gt;=14/24,B$9&lt;20/24)</formula>
    </cfRule>
    <cfRule type="expression" dxfId="7012" priority="118">
      <formula>AND(B$9&gt;=8/24,B$9&lt;14/24)</formula>
    </cfRule>
    <cfRule type="expression" dxfId="7011" priority="119">
      <formula>B$9&lt;8/24</formula>
    </cfRule>
  </conditionalFormatting>
  <conditionalFormatting sqref="B53">
    <cfRule type="expression" dxfId="7010" priority="112">
      <formula>B$9&gt;=20/24</formula>
    </cfRule>
    <cfRule type="expression" dxfId="7009" priority="113">
      <formula>AND(B$9&gt;=14/24,B$9&lt;20/24)</formula>
    </cfRule>
    <cfRule type="expression" dxfId="7008" priority="114">
      <formula>AND(B$9&gt;=8/24,B$9&lt;14/24)</formula>
    </cfRule>
    <cfRule type="expression" dxfId="7007" priority="115">
      <formula>B$9&lt;8/24</formula>
    </cfRule>
  </conditionalFormatting>
  <conditionalFormatting sqref="B53:B57">
    <cfRule type="expression" dxfId="7006" priority="111">
      <formula>B53&gt;$AG53</formula>
    </cfRule>
  </conditionalFormatting>
  <conditionalFormatting sqref="B96 B47 B86 B72:B74 B100:B106 B67:C69">
    <cfRule type="expression" dxfId="7005" priority="107">
      <formula>B$9&gt;=20/24</formula>
    </cfRule>
    <cfRule type="expression" dxfId="7004" priority="108">
      <formula>AND(B$9&gt;=14/24,B$9&lt;20/24)</formula>
    </cfRule>
    <cfRule type="expression" dxfId="7003" priority="109">
      <formula>AND(B$9&gt;=8/24,B$9&lt;14/24)</formula>
    </cfRule>
    <cfRule type="expression" dxfId="7002" priority="110">
      <formula>B$9&lt;8/24</formula>
    </cfRule>
  </conditionalFormatting>
  <conditionalFormatting sqref="B47 B67:C69">
    <cfRule type="expression" dxfId="7001" priority="106">
      <formula>B47&gt;$AG47</formula>
    </cfRule>
  </conditionalFormatting>
  <conditionalFormatting sqref="B97 B88">
    <cfRule type="expression" dxfId="7000" priority="102">
      <formula>B$9&gt;=20/24</formula>
    </cfRule>
    <cfRule type="expression" dxfId="6999" priority="103">
      <formula>AND(B$9&gt;=14/24,B$9&lt;20/24)</formula>
    </cfRule>
    <cfRule type="expression" dxfId="6998" priority="104">
      <formula>AND(B$9&gt;=8/24,B$9&lt;14/24)</formula>
    </cfRule>
    <cfRule type="expression" dxfId="6997" priority="105">
      <formula>B$9&lt;8/24</formula>
    </cfRule>
  </conditionalFormatting>
  <conditionalFormatting sqref="B58">
    <cfRule type="expression" dxfId="6996" priority="98">
      <formula>B$9&gt;=20/24</formula>
    </cfRule>
    <cfRule type="expression" dxfId="6995" priority="99">
      <formula>AND(B$9&gt;=14/24,B$9&lt;20/24)</formula>
    </cfRule>
    <cfRule type="expression" dxfId="6994" priority="100">
      <formula>AND(B$9&gt;=8/24,B$9&lt;14/24)</formula>
    </cfRule>
    <cfRule type="expression" dxfId="6993" priority="101">
      <formula>B$9&lt;8/24</formula>
    </cfRule>
  </conditionalFormatting>
  <conditionalFormatting sqref="B58">
    <cfRule type="expression" dxfId="6992" priority="97">
      <formula>B58&gt;$AG58</formula>
    </cfRule>
  </conditionalFormatting>
  <conditionalFormatting sqref="B91:B95">
    <cfRule type="expression" dxfId="6991" priority="93">
      <formula>B$9&gt;=20/24</formula>
    </cfRule>
    <cfRule type="expression" dxfId="6990" priority="94">
      <formula>AND(B$9&gt;=14/24,B$9&lt;20/24)</formula>
    </cfRule>
    <cfRule type="expression" dxfId="6989" priority="95">
      <formula>AND(B$9&gt;=8/24,B$9&lt;14/24)</formula>
    </cfRule>
    <cfRule type="expression" dxfId="6988" priority="96">
      <formula>B$9&lt;8/24</formula>
    </cfRule>
  </conditionalFormatting>
  <conditionalFormatting sqref="B49:B51">
    <cfRule type="expression" dxfId="6987" priority="89">
      <formula>B$9&gt;=20/24</formula>
    </cfRule>
    <cfRule type="expression" dxfId="6986" priority="90">
      <formula>AND(B$9&gt;=14/24,B$9&lt;20/24)</formula>
    </cfRule>
    <cfRule type="expression" dxfId="6985" priority="91">
      <formula>AND(B$9&gt;=8/24,B$9&lt;14/24)</formula>
    </cfRule>
    <cfRule type="expression" dxfId="6984" priority="92">
      <formula>B$9&lt;8/24</formula>
    </cfRule>
  </conditionalFormatting>
  <conditionalFormatting sqref="B49:B51">
    <cfRule type="expression" dxfId="6983" priority="88">
      <formula>B49&gt;$AG49</formula>
    </cfRule>
  </conditionalFormatting>
  <conditionalFormatting sqref="B107">
    <cfRule type="expression" dxfId="6982" priority="84">
      <formula>B$9&gt;=20/24</formula>
    </cfRule>
    <cfRule type="expression" dxfId="6981" priority="85">
      <formula>AND(B$9&gt;=14/24,B$9&lt;20/24)</formula>
    </cfRule>
    <cfRule type="expression" dxfId="6980" priority="86">
      <formula>AND(B$9&gt;=8/24,B$9&lt;14/24)</formula>
    </cfRule>
    <cfRule type="expression" dxfId="6979" priority="87">
      <formula>B$9&lt;8/24</formula>
    </cfRule>
  </conditionalFormatting>
  <conditionalFormatting sqref="B110">
    <cfRule type="expression" dxfId="6978" priority="80">
      <formula>B$9&gt;=20/24</formula>
    </cfRule>
    <cfRule type="expression" dxfId="6977" priority="81">
      <formula>AND(B$9&gt;=14/24,B$9&lt;20/24)</formula>
    </cfRule>
    <cfRule type="expression" dxfId="6976" priority="82">
      <formula>AND(B$9&gt;=8/24,B$9&lt;14/24)</formula>
    </cfRule>
    <cfRule type="expression" dxfId="6975" priority="83">
      <formula>B$9&lt;8/24</formula>
    </cfRule>
  </conditionalFormatting>
  <conditionalFormatting sqref="B34:X43 B17:X32">
    <cfRule type="expression" dxfId="6974" priority="76">
      <formula>B$9&gt;=20/24</formula>
    </cfRule>
    <cfRule type="expression" dxfId="6973" priority="77">
      <formula>AND(B$9&gt;=14/24,B$9&lt;20/24)</formula>
    </cfRule>
    <cfRule type="expression" dxfId="6972" priority="78">
      <formula>AND(B$9&gt;=8/24,B$9&lt;14/24)</formula>
    </cfRule>
    <cfRule type="expression" dxfId="6971" priority="79">
      <formula>B$9&lt;8/24</formula>
    </cfRule>
  </conditionalFormatting>
  <conditionalFormatting sqref="B34:X43 B17:X32">
    <cfRule type="expression" dxfId="6970" priority="75">
      <formula>B17&gt;$AG17</formula>
    </cfRule>
  </conditionalFormatting>
  <conditionalFormatting sqref="B83:B85 B75:B76">
    <cfRule type="expression" dxfId="6969" priority="71">
      <formula>B$9&gt;=20/24</formula>
    </cfRule>
    <cfRule type="expression" dxfId="6968" priority="72">
      <formula>AND(B$9&gt;=14/24,B$9&lt;20/24)</formula>
    </cfRule>
    <cfRule type="expression" dxfId="6967" priority="73">
      <formula>AND(B$9&gt;=8/24,B$9&lt;14/24)</formula>
    </cfRule>
    <cfRule type="expression" dxfId="6966" priority="74">
      <formula>B$9&lt;8/24</formula>
    </cfRule>
  </conditionalFormatting>
  <conditionalFormatting sqref="B98 B87 B89 B70:K70">
    <cfRule type="expression" dxfId="6965" priority="67">
      <formula>B$9&gt;=20/24</formula>
    </cfRule>
    <cfRule type="expression" dxfId="6964" priority="68">
      <formula>AND(B$9&gt;=14/24,B$9&lt;20/24)</formula>
    </cfRule>
    <cfRule type="expression" dxfId="6963" priority="69">
      <formula>AND(B$9&gt;=8/24,B$9&lt;14/24)</formula>
    </cfRule>
    <cfRule type="expression" dxfId="6962" priority="70">
      <formula>B$9&lt;8/24</formula>
    </cfRule>
  </conditionalFormatting>
  <conditionalFormatting sqref="B65:B66 B48 B70:K70">
    <cfRule type="expression" dxfId="6961" priority="66">
      <formula>B48&gt;$AG48</formula>
    </cfRule>
  </conditionalFormatting>
  <conditionalFormatting sqref="B82">
    <cfRule type="expression" dxfId="6960" priority="62">
      <formula>B$9&gt;=20/24</formula>
    </cfRule>
    <cfRule type="expression" dxfId="6959" priority="63">
      <formula>AND(B$9&gt;=14/24,B$9&lt;20/24)</formula>
    </cfRule>
    <cfRule type="expression" dxfId="6958" priority="64">
      <formula>AND(B$9&gt;=8/24,B$9&lt;14/24)</formula>
    </cfRule>
    <cfRule type="expression" dxfId="6957" priority="65">
      <formula>B$9&lt;8/24</formula>
    </cfRule>
  </conditionalFormatting>
  <conditionalFormatting sqref="B52">
    <cfRule type="expression" dxfId="6956" priority="58">
      <formula>B$9&gt;=20/24</formula>
    </cfRule>
    <cfRule type="expression" dxfId="6955" priority="59">
      <formula>AND(B$9&gt;=14/24,B$9&lt;20/24)</formula>
    </cfRule>
    <cfRule type="expression" dxfId="6954" priority="60">
      <formula>AND(B$9&gt;=8/24,B$9&lt;14/24)</formula>
    </cfRule>
    <cfRule type="expression" dxfId="6953" priority="61">
      <formula>B$9&lt;8/24</formula>
    </cfRule>
  </conditionalFormatting>
  <conditionalFormatting sqref="B52">
    <cfRule type="expression" dxfId="6952" priority="57">
      <formula>B52&gt;$AG52</formula>
    </cfRule>
  </conditionalFormatting>
  <conditionalFormatting sqref="B59:B64 C60:X64">
    <cfRule type="expression" dxfId="6951" priority="49">
      <formula>B$9&gt;=20/24</formula>
    </cfRule>
    <cfRule type="expression" dxfId="6950" priority="50">
      <formula>AND(B$9&gt;=14/24,B$9&lt;20/24)</formula>
    </cfRule>
    <cfRule type="expression" dxfId="6949" priority="51">
      <formula>AND(B$9&gt;=8/24,B$9&lt;14/24)</formula>
    </cfRule>
    <cfRule type="expression" dxfId="6948" priority="52">
      <formula>B$9&lt;8/24</formula>
    </cfRule>
  </conditionalFormatting>
  <conditionalFormatting sqref="B59:B64 C60:X64">
    <cfRule type="expression" dxfId="6947" priority="48">
      <formula>B59&gt;$AG59</formula>
    </cfRule>
  </conditionalFormatting>
  <conditionalFormatting sqref="B45:X45 B13:X15">
    <cfRule type="expression" dxfId="6946" priority="47">
      <formula>B13&gt;$AG13</formula>
    </cfRule>
  </conditionalFormatting>
  <conditionalFormatting sqref="B12:X12">
    <cfRule type="expression" dxfId="6945" priority="43">
      <formula>B$9&gt;=20/24</formula>
    </cfRule>
    <cfRule type="expression" dxfId="6944" priority="44">
      <formula>AND(B$9&gt;=14/24,B$9&lt;20/24)</formula>
    </cfRule>
    <cfRule type="expression" dxfId="6943" priority="45">
      <formula>AND(B$9&gt;=8/24,B$9&lt;14/24)</formula>
    </cfRule>
    <cfRule type="expression" dxfId="6942" priority="46">
      <formula>B$9&lt;8/24</formula>
    </cfRule>
  </conditionalFormatting>
  <conditionalFormatting sqref="B12:X12">
    <cfRule type="expression" dxfId="6941" priority="42">
      <formula>B12&gt;$AG12</formula>
    </cfRule>
  </conditionalFormatting>
  <conditionalFormatting sqref="B13:X15">
    <cfRule type="expression" dxfId="6940" priority="38">
      <formula>B$9&gt;=20/24</formula>
    </cfRule>
    <cfRule type="expression" dxfId="6939" priority="39">
      <formula>AND(B$9&gt;=14/24,B$9&lt;20/24)</formula>
    </cfRule>
    <cfRule type="expression" dxfId="6938" priority="40">
      <formula>AND(B$9&gt;=8/24,B$9&lt;14/24)</formula>
    </cfRule>
    <cfRule type="expression" dxfId="6937" priority="41">
      <formula>B$9&lt;8/24</formula>
    </cfRule>
  </conditionalFormatting>
  <conditionalFormatting sqref="B45:X45">
    <cfRule type="expression" dxfId="6936" priority="34">
      <formula>B$9&gt;=20/24</formula>
    </cfRule>
    <cfRule type="expression" dxfId="6935" priority="35">
      <formula>AND(B$9&gt;=14/24,B$9&lt;20/24)</formula>
    </cfRule>
    <cfRule type="expression" dxfId="6934" priority="36">
      <formula>AND(B$9&gt;=8/24,B$9&lt;14/24)</formula>
    </cfRule>
    <cfRule type="expression" dxfId="6933" priority="37">
      <formula>B$9&lt;8/24</formula>
    </cfRule>
  </conditionalFormatting>
  <conditionalFormatting sqref="B77:B81">
    <cfRule type="expression" dxfId="6932" priority="30">
      <formula>B$9&gt;=20/24</formula>
    </cfRule>
    <cfRule type="expression" dxfId="6931" priority="31">
      <formula>AND(B$9&gt;=14/24,B$9&lt;20/24)</formula>
    </cfRule>
    <cfRule type="expression" dxfId="6930" priority="32">
      <formula>AND(B$9&gt;=8/24,B$9&lt;14/24)</formula>
    </cfRule>
    <cfRule type="expression" dxfId="6929" priority="33">
      <formula>B$9&lt;8/24</formula>
    </cfRule>
  </conditionalFormatting>
  <conditionalFormatting sqref="B46">
    <cfRule type="expression" dxfId="6928" priority="26">
      <formula>B$9&gt;=20/24</formula>
    </cfRule>
    <cfRule type="expression" dxfId="6927" priority="27">
      <formula>AND(B$9&gt;=14/24,B$9&lt;20/24)</formula>
    </cfRule>
    <cfRule type="expression" dxfId="6926" priority="28">
      <formula>AND(B$9&gt;=8/24,B$9&lt;14/24)</formula>
    </cfRule>
    <cfRule type="expression" dxfId="6925" priority="29">
      <formula>B$9&lt;8/24</formula>
    </cfRule>
  </conditionalFormatting>
  <conditionalFormatting sqref="B46">
    <cfRule type="expression" dxfId="6924" priority="25">
      <formula>B46&gt;$AG46</formula>
    </cfRule>
  </conditionalFormatting>
  <conditionalFormatting sqref="B11:X11">
    <cfRule type="expression" dxfId="6923" priority="21">
      <formula>B$9&gt;=20/24</formula>
    </cfRule>
    <cfRule type="expression" dxfId="6922" priority="22">
      <formula>AND(B$9&gt;=14/24,B$9&lt;20/24)</formula>
    </cfRule>
    <cfRule type="expression" dxfId="6921" priority="23">
      <formula>AND(B$9&gt;=8/24,B$9&lt;14/24)</formula>
    </cfRule>
    <cfRule type="expression" dxfId="6920" priority="24">
      <formula>B$9&lt;8/24</formula>
    </cfRule>
  </conditionalFormatting>
  <conditionalFormatting sqref="B11:X11">
    <cfRule type="expression" dxfId="6919" priority="20">
      <formula>B11&gt;$AG11</formula>
    </cfRule>
  </conditionalFormatting>
  <conditionalFormatting sqref="B16:X16">
    <cfRule type="expression" dxfId="6918" priority="16">
      <formula>B$9&gt;=20/24</formula>
    </cfRule>
    <cfRule type="expression" dxfId="6917" priority="17">
      <formula>AND(B$9&gt;=14/24,B$9&lt;20/24)</formula>
    </cfRule>
    <cfRule type="expression" dxfId="6916" priority="18">
      <formula>AND(B$9&gt;=8/24,B$9&lt;14/24)</formula>
    </cfRule>
    <cfRule type="expression" dxfId="6915" priority="19">
      <formula>B$9&lt;8/24</formula>
    </cfRule>
  </conditionalFormatting>
  <conditionalFormatting sqref="B16:X16">
    <cfRule type="expression" dxfId="6914" priority="15">
      <formula>B16&gt;$AG16</formula>
    </cfRule>
  </conditionalFormatting>
  <conditionalFormatting sqref="B33:X33">
    <cfRule type="expression" dxfId="6913" priority="11">
      <formula>B$9&gt;=20/24</formula>
    </cfRule>
    <cfRule type="expression" dxfId="6912" priority="12">
      <formula>AND(B$9&gt;=14/24,B$9&lt;20/24)</formula>
    </cfRule>
    <cfRule type="expression" dxfId="6911" priority="13">
      <formula>AND(B$9&gt;=8/24,B$9&lt;14/24)</formula>
    </cfRule>
    <cfRule type="expression" dxfId="6910" priority="14">
      <formula>B$9&lt;8/24</formula>
    </cfRule>
  </conditionalFormatting>
  <conditionalFormatting sqref="B33:X33">
    <cfRule type="expression" dxfId="6909" priority="10">
      <formula>B33&gt;$AG33</formula>
    </cfRule>
  </conditionalFormatting>
  <conditionalFormatting sqref="B44:X44">
    <cfRule type="expression" dxfId="6908" priority="9">
      <formula>B44&gt;$AG44</formula>
    </cfRule>
  </conditionalFormatting>
  <conditionalFormatting sqref="B44:X44">
    <cfRule type="expression" dxfId="6907" priority="5">
      <formula>B$9&gt;=20/24</formula>
    </cfRule>
    <cfRule type="expression" dxfId="6906" priority="6">
      <formula>AND(B$9&gt;=14/24,B$9&lt;20/24)</formula>
    </cfRule>
    <cfRule type="expression" dxfId="6905" priority="7">
      <formula>AND(B$9&gt;=8/24,B$9&lt;14/24)</formula>
    </cfRule>
    <cfRule type="expression" dxfId="6904" priority="8">
      <formula>B$9&lt;8/24</formula>
    </cfRule>
  </conditionalFormatting>
  <conditionalFormatting sqref="B117">
    <cfRule type="expression" dxfId="6903" priority="1">
      <formula>B$9&gt;=20/24</formula>
    </cfRule>
    <cfRule type="expression" dxfId="6902" priority="2">
      <formula>AND(B$9&gt;=14/24,B$9&lt;20/24)</formula>
    </cfRule>
    <cfRule type="expression" dxfId="6901" priority="3">
      <formula>AND(B$9&gt;=8/24,B$9&lt;14/24)</formula>
    </cfRule>
    <cfRule type="expression" dxfId="6900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08" id="{67D84E0D-3125-492D-A989-3F6B11765E2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09" id="{4E724240-EE8E-4D8B-B8FB-46CD6F6970C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10" id="{0CBFADDB-EBCB-40EC-A63B-5DF79D9D3B3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11" id="{7A36E342-BA14-4E84-9CB9-B247E6E22AE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53" id="{5C60FA95-673C-40AC-B1D6-91198FDA0DF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4" id="{65238F64-70D1-4B15-91DF-4E62D3E0963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5" id="{05517A80-04BD-4FCD-9CFF-17E9B357156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6" id="{3D4F276F-8740-4E9A-83C0-A2D8428C60A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Normal="100" workbookViewId="0">
      <pane ySplit="10" topLeftCell="A71" activePane="bottomLeft" state="frozen"/>
      <selection activeCell="Z85" sqref="Z85"/>
      <selection pane="bottomLeft" activeCell="O73" sqref="O73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4" width="6.85546875" style="2" customWidth="1"/>
    <col min="25" max="25" width="7.28515625" style="2" customWidth="1"/>
    <col min="26" max="26" width="9" style="2" customWidth="1"/>
    <col min="27" max="27" width="9.710937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2079/12/9</v>
      </c>
      <c r="C4" s="236"/>
      <c r="D4" s="236"/>
      <c r="E4" s="237" t="str">
        <f ca="1">"2079/"&amp;"12/"&amp;INT(MID(CELL("filename",G6),FIND("]",CELL("filename",G6))+1,200))</f>
        <v>2079/12/9</v>
      </c>
      <c r="F4" s="237"/>
      <c r="G4" s="237"/>
      <c r="H4" s="237" t="str">
        <f ca="1">TEXT(E4,"dddd")</f>
        <v>Saturday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419</v>
      </c>
      <c r="C5" s="33">
        <f t="shared" si="0"/>
        <v>503</v>
      </c>
      <c r="D5" s="33">
        <f t="shared" si="0"/>
        <v>537.9</v>
      </c>
      <c r="E5" s="33">
        <f t="shared" si="0"/>
        <v>535.6</v>
      </c>
      <c r="F5" s="33">
        <f t="shared" si="0"/>
        <v>512.29999999999995</v>
      </c>
      <c r="G5" s="33">
        <f t="shared" si="0"/>
        <v>564.70000000000005</v>
      </c>
      <c r="H5" s="33">
        <f t="shared" si="0"/>
        <v>511.8</v>
      </c>
      <c r="I5" s="33">
        <f t="shared" si="0"/>
        <v>527.79999999999995</v>
      </c>
      <c r="J5" s="33">
        <f t="shared" si="0"/>
        <v>525.70000000000005</v>
      </c>
      <c r="K5" s="33">
        <f t="shared" si="0"/>
        <v>580.6</v>
      </c>
      <c r="L5" s="33">
        <f t="shared" si="0"/>
        <v>598.79999999999995</v>
      </c>
      <c r="M5" s="33">
        <f t="shared" si="0"/>
        <v>575.69999999999993</v>
      </c>
      <c r="N5" s="33">
        <f t="shared" si="0"/>
        <v>590.80000000000007</v>
      </c>
      <c r="O5" s="33">
        <f t="shared" si="0"/>
        <v>602.80000000000007</v>
      </c>
      <c r="P5" s="33">
        <f t="shared" si="0"/>
        <v>570.80000000000007</v>
      </c>
      <c r="Q5" s="33">
        <f t="shared" si="0"/>
        <v>585.80000000000007</v>
      </c>
      <c r="R5" s="33">
        <f t="shared" si="0"/>
        <v>585.6</v>
      </c>
      <c r="S5" s="33">
        <f t="shared" si="0"/>
        <v>580.6</v>
      </c>
      <c r="T5" s="33">
        <f t="shared" si="0"/>
        <v>556.6</v>
      </c>
      <c r="U5" s="33">
        <f t="shared" si="0"/>
        <v>555.6</v>
      </c>
      <c r="V5" s="33">
        <f t="shared" si="0"/>
        <v>605.6</v>
      </c>
      <c r="W5" s="33">
        <f t="shared" si="0"/>
        <v>535.6</v>
      </c>
      <c r="X5" s="33">
        <f t="shared" si="0"/>
        <v>615.6</v>
      </c>
      <c r="Y5" s="33">
        <f t="shared" si="0"/>
        <v>700.6</v>
      </c>
      <c r="Z5" s="33">
        <f t="shared" si="0"/>
        <v>442.6</v>
      </c>
      <c r="AA5" s="33">
        <f t="shared" si="0"/>
        <v>471.9</v>
      </c>
      <c r="AB5" s="33">
        <f t="shared" si="0"/>
        <v>534.79999999999995</v>
      </c>
      <c r="AC5" s="33">
        <f t="shared" si="0"/>
        <v>515.4</v>
      </c>
      <c r="AD5" s="33">
        <f t="shared" si="0"/>
        <v>402.4</v>
      </c>
      <c r="AE5" s="33">
        <f t="shared" si="0"/>
        <v>445.4</v>
      </c>
      <c r="AF5" s="33">
        <f>B82</f>
        <v>329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1371MW at 9:00hr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Load=1229</v>
      </c>
      <c r="B7" s="38">
        <f t="shared" ref="B7:AF7" si="1">B89</f>
        <v>1392.54</v>
      </c>
      <c r="C7" s="38">
        <f t="shared" si="1"/>
        <v>1419.54</v>
      </c>
      <c r="D7" s="38">
        <f t="shared" si="1"/>
        <v>1263.54</v>
      </c>
      <c r="E7" s="38">
        <f t="shared" si="1"/>
        <v>1228.7399999999998</v>
      </c>
      <c r="F7" s="38">
        <f t="shared" si="1"/>
        <v>1228.7400000000002</v>
      </c>
      <c r="G7" s="38">
        <f t="shared" si="1"/>
        <v>1229.8399999999999</v>
      </c>
      <c r="H7" s="38">
        <f t="shared" si="1"/>
        <v>1246.04</v>
      </c>
      <c r="I7" s="38">
        <f t="shared" si="1"/>
        <v>1229.3399999999999</v>
      </c>
      <c r="J7" s="38">
        <f t="shared" si="1"/>
        <v>1347.74</v>
      </c>
      <c r="K7" s="38">
        <f t="shared" si="1"/>
        <v>1279.1400000000001</v>
      </c>
      <c r="L7" s="38">
        <f t="shared" si="1"/>
        <v>1348.1399999999999</v>
      </c>
      <c r="M7" s="38">
        <f t="shared" si="1"/>
        <v>1367.1399999999999</v>
      </c>
      <c r="N7" s="38">
        <f>N89</f>
        <v>1370.94</v>
      </c>
      <c r="O7" s="38">
        <f t="shared" si="1"/>
        <v>1286.04</v>
      </c>
      <c r="P7" s="38">
        <f t="shared" si="1"/>
        <v>1304.6399999999999</v>
      </c>
      <c r="Q7" s="38">
        <f t="shared" si="1"/>
        <v>1321.74</v>
      </c>
      <c r="R7" s="38">
        <f t="shared" si="1"/>
        <v>1336.74</v>
      </c>
      <c r="S7" s="38">
        <f t="shared" si="1"/>
        <v>1431.3400000000001</v>
      </c>
      <c r="T7" s="38">
        <f t="shared" si="1"/>
        <v>1389.14</v>
      </c>
      <c r="U7" s="38">
        <f t="shared" si="1"/>
        <v>1350.1399999999999</v>
      </c>
      <c r="V7" s="38">
        <f t="shared" si="1"/>
        <v>1349.1399999999999</v>
      </c>
      <c r="W7" s="38">
        <f t="shared" si="1"/>
        <v>1551.74</v>
      </c>
      <c r="X7" s="38">
        <f t="shared" si="1"/>
        <v>1492.54</v>
      </c>
      <c r="Y7" s="38">
        <f t="shared" si="1"/>
        <v>1559.54</v>
      </c>
      <c r="Z7" s="38">
        <f t="shared" si="1"/>
        <v>1698.1399999999999</v>
      </c>
      <c r="AA7" s="38">
        <f t="shared" si="1"/>
        <v>1634.84</v>
      </c>
      <c r="AB7" s="38">
        <f t="shared" si="1"/>
        <v>1587.94</v>
      </c>
      <c r="AC7" s="38">
        <f t="shared" si="1"/>
        <v>1604.6399999999999</v>
      </c>
      <c r="AD7" s="38">
        <f t="shared" si="1"/>
        <v>1587.7399999999998</v>
      </c>
      <c r="AE7" s="38">
        <f t="shared" si="1"/>
        <v>1463.54</v>
      </c>
      <c r="AF7" s="38">
        <f t="shared" si="1"/>
        <v>1469.04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24</v>
      </c>
      <c r="C11" s="50">
        <v>24</v>
      </c>
      <c r="D11" s="50">
        <v>24</v>
      </c>
      <c r="E11" s="50">
        <v>24</v>
      </c>
      <c r="F11" s="50">
        <v>24</v>
      </c>
      <c r="G11" s="50">
        <v>24</v>
      </c>
      <c r="H11" s="50">
        <v>24</v>
      </c>
      <c r="I11" s="50">
        <v>24</v>
      </c>
      <c r="J11" s="50">
        <v>24</v>
      </c>
      <c r="K11" s="50">
        <v>24</v>
      </c>
      <c r="L11" s="50">
        <v>24</v>
      </c>
      <c r="M11" s="50">
        <v>24</v>
      </c>
      <c r="N11" s="50">
        <v>24</v>
      </c>
      <c r="O11" s="50">
        <v>24</v>
      </c>
      <c r="P11" s="50">
        <v>24</v>
      </c>
      <c r="Q11" s="50">
        <v>24</v>
      </c>
      <c r="R11" s="50">
        <v>24</v>
      </c>
      <c r="S11" s="50">
        <v>24</v>
      </c>
      <c r="T11" s="50">
        <v>24</v>
      </c>
      <c r="U11" s="50">
        <v>24</v>
      </c>
      <c r="V11" s="50">
        <v>24</v>
      </c>
      <c r="W11" s="50">
        <v>24</v>
      </c>
      <c r="X11" s="50">
        <v>24</v>
      </c>
      <c r="Y11" s="50">
        <v>24</v>
      </c>
      <c r="Z11" s="50">
        <v>24</v>
      </c>
      <c r="AA11" s="50">
        <v>24</v>
      </c>
      <c r="AB11" s="50">
        <v>24</v>
      </c>
      <c r="AC11" s="50">
        <v>24</v>
      </c>
      <c r="AD11" s="50">
        <v>24</v>
      </c>
      <c r="AE11" s="50">
        <v>24</v>
      </c>
      <c r="AF11" s="50">
        <v>24</v>
      </c>
      <c r="AG11" s="51">
        <v>86</v>
      </c>
      <c r="AH11" s="52">
        <f t="shared" ref="AH11:AH74" si="2">MAX(B11:AF11)</f>
        <v>24</v>
      </c>
      <c r="AI11" s="53">
        <f t="shared" ref="AI11:AI74" si="3">MIN(B11:AF11)</f>
        <v>24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13.8</v>
      </c>
      <c r="C12" s="50">
        <v>13.8</v>
      </c>
      <c r="D12" s="50">
        <v>13.8</v>
      </c>
      <c r="E12" s="50">
        <v>13.8</v>
      </c>
      <c r="F12" s="50">
        <v>13.8</v>
      </c>
      <c r="G12" s="50">
        <v>13.8</v>
      </c>
      <c r="H12" s="50">
        <v>13.8</v>
      </c>
      <c r="I12" s="50">
        <v>13.8</v>
      </c>
      <c r="J12" s="50">
        <v>13.8</v>
      </c>
      <c r="K12" s="50">
        <v>13.8</v>
      </c>
      <c r="L12" s="50">
        <v>13.8</v>
      </c>
      <c r="M12" s="50">
        <v>13.8</v>
      </c>
      <c r="N12" s="50">
        <v>13.8</v>
      </c>
      <c r="O12" s="50">
        <v>13.8</v>
      </c>
      <c r="P12" s="50">
        <v>13.8</v>
      </c>
      <c r="Q12" s="50">
        <v>13.8</v>
      </c>
      <c r="R12" s="50">
        <v>13.8</v>
      </c>
      <c r="S12" s="50">
        <v>13.8</v>
      </c>
      <c r="T12" s="50">
        <v>13.8</v>
      </c>
      <c r="U12" s="50">
        <v>13.8</v>
      </c>
      <c r="V12" s="50">
        <v>13.8</v>
      </c>
      <c r="W12" s="50">
        <v>13.8</v>
      </c>
      <c r="X12" s="50">
        <v>13.8</v>
      </c>
      <c r="Y12" s="50">
        <v>13.8</v>
      </c>
      <c r="Z12" s="50">
        <v>14.6</v>
      </c>
      <c r="AA12" s="50">
        <v>14.6</v>
      </c>
      <c r="AB12" s="50">
        <v>14.6</v>
      </c>
      <c r="AC12" s="50">
        <v>14.6</v>
      </c>
      <c r="AD12" s="50">
        <v>14.6</v>
      </c>
      <c r="AE12" s="50">
        <v>14.6</v>
      </c>
      <c r="AF12" s="50">
        <v>14.6</v>
      </c>
      <c r="AG12" s="51">
        <v>52.4</v>
      </c>
      <c r="AH12" s="52">
        <f t="shared" si="2"/>
        <v>14.6</v>
      </c>
      <c r="AI12" s="53">
        <f t="shared" si="3"/>
        <v>13.8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47.3</v>
      </c>
      <c r="C13" s="50">
        <v>47.3</v>
      </c>
      <c r="D13" s="50">
        <v>47.3</v>
      </c>
      <c r="E13" s="50">
        <v>47.3</v>
      </c>
      <c r="F13" s="50">
        <v>47.3</v>
      </c>
      <c r="G13" s="50">
        <v>47.3</v>
      </c>
      <c r="H13" s="50">
        <v>47.3</v>
      </c>
      <c r="I13" s="50">
        <v>47.3</v>
      </c>
      <c r="J13" s="50">
        <v>47.3</v>
      </c>
      <c r="K13" s="50">
        <v>47.3</v>
      </c>
      <c r="L13" s="50">
        <v>47.3</v>
      </c>
      <c r="M13" s="50">
        <v>47.3</v>
      </c>
      <c r="N13" s="50">
        <v>47.3</v>
      </c>
      <c r="O13" s="50">
        <v>47.3</v>
      </c>
      <c r="P13" s="50">
        <v>47.3</v>
      </c>
      <c r="Q13" s="50">
        <v>47.3</v>
      </c>
      <c r="R13" s="50">
        <v>47.3</v>
      </c>
      <c r="S13" s="50">
        <v>47.3</v>
      </c>
      <c r="T13" s="50">
        <v>47.3</v>
      </c>
      <c r="U13" s="50">
        <v>47.3</v>
      </c>
      <c r="V13" s="50">
        <v>47.3</v>
      </c>
      <c r="W13" s="50">
        <v>47.3</v>
      </c>
      <c r="X13" s="50">
        <v>47.3</v>
      </c>
      <c r="Y13" s="50">
        <v>47.3</v>
      </c>
      <c r="Z13" s="50">
        <v>47.3</v>
      </c>
      <c r="AA13" s="50">
        <v>47.3</v>
      </c>
      <c r="AB13" s="50">
        <v>47.3</v>
      </c>
      <c r="AC13" s="50">
        <v>47.3</v>
      </c>
      <c r="AD13" s="50">
        <v>47.3</v>
      </c>
      <c r="AE13" s="50">
        <v>47.3</v>
      </c>
      <c r="AF13" s="50">
        <v>47.3</v>
      </c>
      <c r="AG13" s="55">
        <v>50</v>
      </c>
      <c r="AH13" s="52">
        <f t="shared" si="2"/>
        <v>47.3</v>
      </c>
      <c r="AI13" s="53">
        <f t="shared" si="3"/>
        <v>47.3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17.100000000000001</v>
      </c>
      <c r="C14" s="50">
        <v>17.100000000000001</v>
      </c>
      <c r="D14" s="50">
        <v>17.100000000000001</v>
      </c>
      <c r="E14" s="50">
        <v>17.100000000000001</v>
      </c>
      <c r="F14" s="50">
        <v>17.100000000000001</v>
      </c>
      <c r="G14" s="50">
        <v>17.100000000000001</v>
      </c>
      <c r="H14" s="50">
        <v>17.100000000000001</v>
      </c>
      <c r="I14" s="50">
        <v>17.100000000000001</v>
      </c>
      <c r="J14" s="50">
        <v>17.100000000000001</v>
      </c>
      <c r="K14" s="50">
        <v>17.100000000000001</v>
      </c>
      <c r="L14" s="50">
        <v>17.100000000000001</v>
      </c>
      <c r="M14" s="50">
        <v>17.100000000000001</v>
      </c>
      <c r="N14" s="50">
        <v>17.100000000000001</v>
      </c>
      <c r="O14" s="50">
        <v>17.100000000000001</v>
      </c>
      <c r="P14" s="50">
        <v>17.100000000000001</v>
      </c>
      <c r="Q14" s="50">
        <v>17.100000000000001</v>
      </c>
      <c r="R14" s="50">
        <v>17.100000000000001</v>
      </c>
      <c r="S14" s="50">
        <v>17.100000000000001</v>
      </c>
      <c r="T14" s="50">
        <v>17.100000000000001</v>
      </c>
      <c r="U14" s="50">
        <v>17.100000000000001</v>
      </c>
      <c r="V14" s="50">
        <v>17.100000000000001</v>
      </c>
      <c r="W14" s="50">
        <v>17.100000000000001</v>
      </c>
      <c r="X14" s="50">
        <v>17.100000000000001</v>
      </c>
      <c r="Y14" s="50">
        <v>17.100000000000001</v>
      </c>
      <c r="Z14" s="50">
        <v>17.399999999999999</v>
      </c>
      <c r="AA14" s="50">
        <v>17.399999999999999</v>
      </c>
      <c r="AB14" s="50">
        <v>17.399999999999999</v>
      </c>
      <c r="AC14" s="50">
        <v>17.399999999999999</v>
      </c>
      <c r="AD14" s="50">
        <v>17.399999999999999</v>
      </c>
      <c r="AE14" s="50">
        <v>17.399999999999999</v>
      </c>
      <c r="AF14" s="50">
        <v>17.399999999999999</v>
      </c>
      <c r="AG14" s="55">
        <v>45</v>
      </c>
      <c r="AH14" s="52">
        <f t="shared" si="2"/>
        <v>17.399999999999999</v>
      </c>
      <c r="AI14" s="53">
        <f t="shared" si="3"/>
        <v>17.100000000000001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12.9</v>
      </c>
      <c r="C15" s="50">
        <v>12.9</v>
      </c>
      <c r="D15" s="50">
        <v>12.9</v>
      </c>
      <c r="E15" s="50">
        <v>12.9</v>
      </c>
      <c r="F15" s="50">
        <v>12.9</v>
      </c>
      <c r="G15" s="50">
        <v>12.9</v>
      </c>
      <c r="H15" s="50">
        <v>12.9</v>
      </c>
      <c r="I15" s="50">
        <v>12.9</v>
      </c>
      <c r="J15" s="50">
        <v>12.9</v>
      </c>
      <c r="K15" s="50">
        <v>12.9</v>
      </c>
      <c r="L15" s="50">
        <v>12.9</v>
      </c>
      <c r="M15" s="50">
        <v>12.9</v>
      </c>
      <c r="N15" s="50">
        <v>12.9</v>
      </c>
      <c r="O15" s="50">
        <v>12.9</v>
      </c>
      <c r="P15" s="50">
        <v>12.9</v>
      </c>
      <c r="Q15" s="50">
        <v>12.9</v>
      </c>
      <c r="R15" s="50">
        <v>12.9</v>
      </c>
      <c r="S15" s="50">
        <v>12.9</v>
      </c>
      <c r="T15" s="50">
        <v>12.9</v>
      </c>
      <c r="U15" s="50">
        <v>12.9</v>
      </c>
      <c r="V15" s="50">
        <v>12.9</v>
      </c>
      <c r="W15" s="50">
        <v>12.9</v>
      </c>
      <c r="X15" s="50">
        <v>12.9</v>
      </c>
      <c r="Y15" s="50">
        <v>12.9</v>
      </c>
      <c r="Z15" s="50">
        <v>12.9</v>
      </c>
      <c r="AA15" s="50">
        <v>12.9</v>
      </c>
      <c r="AB15" s="50">
        <v>12.9</v>
      </c>
      <c r="AC15" s="50">
        <v>12.9</v>
      </c>
      <c r="AD15" s="50">
        <v>12.9</v>
      </c>
      <c r="AE15" s="50">
        <v>12.9</v>
      </c>
      <c r="AF15" s="50">
        <v>12.9</v>
      </c>
      <c r="AG15" s="55">
        <v>42</v>
      </c>
      <c r="AH15" s="52">
        <f t="shared" si="2"/>
        <v>12.9</v>
      </c>
      <c r="AI15" s="53">
        <f t="shared" si="3"/>
        <v>12.9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14</v>
      </c>
      <c r="C16" s="50">
        <v>14</v>
      </c>
      <c r="D16" s="50">
        <v>14</v>
      </c>
      <c r="E16" s="50">
        <v>14</v>
      </c>
      <c r="F16" s="50">
        <v>14</v>
      </c>
      <c r="G16" s="50">
        <v>14</v>
      </c>
      <c r="H16" s="50">
        <v>14</v>
      </c>
      <c r="I16" s="50">
        <v>14</v>
      </c>
      <c r="J16" s="50">
        <v>14</v>
      </c>
      <c r="K16" s="50">
        <v>14</v>
      </c>
      <c r="L16" s="50">
        <v>14</v>
      </c>
      <c r="M16" s="50">
        <v>14</v>
      </c>
      <c r="N16" s="50">
        <v>14</v>
      </c>
      <c r="O16" s="50">
        <v>14</v>
      </c>
      <c r="P16" s="50">
        <v>14</v>
      </c>
      <c r="Q16" s="50">
        <v>14</v>
      </c>
      <c r="R16" s="50">
        <v>14</v>
      </c>
      <c r="S16" s="50">
        <v>14</v>
      </c>
      <c r="T16" s="50">
        <v>14</v>
      </c>
      <c r="U16" s="50">
        <v>14</v>
      </c>
      <c r="V16" s="50">
        <v>14</v>
      </c>
      <c r="W16" s="50">
        <v>14</v>
      </c>
      <c r="X16" s="50">
        <v>14</v>
      </c>
      <c r="Y16" s="50">
        <v>14</v>
      </c>
      <c r="Z16" s="50">
        <v>14</v>
      </c>
      <c r="AA16" s="50">
        <v>14</v>
      </c>
      <c r="AB16" s="50">
        <v>14</v>
      </c>
      <c r="AC16" s="50">
        <v>14</v>
      </c>
      <c r="AD16" s="50">
        <v>14</v>
      </c>
      <c r="AE16" s="50">
        <v>14</v>
      </c>
      <c r="AF16" s="50">
        <v>14</v>
      </c>
      <c r="AG16" s="55">
        <v>36</v>
      </c>
      <c r="AH16" s="52">
        <f t="shared" si="2"/>
        <v>14</v>
      </c>
      <c r="AI16" s="53">
        <f t="shared" si="3"/>
        <v>14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9</v>
      </c>
      <c r="C18" s="50">
        <v>9</v>
      </c>
      <c r="D18" s="50">
        <v>9</v>
      </c>
      <c r="E18" s="50">
        <v>9</v>
      </c>
      <c r="F18" s="50">
        <v>9</v>
      </c>
      <c r="G18" s="50">
        <v>9</v>
      </c>
      <c r="H18" s="50">
        <v>9</v>
      </c>
      <c r="I18" s="50">
        <v>9</v>
      </c>
      <c r="J18" s="50">
        <v>9</v>
      </c>
      <c r="K18" s="50">
        <v>9</v>
      </c>
      <c r="L18" s="50">
        <v>9</v>
      </c>
      <c r="M18" s="50">
        <v>9</v>
      </c>
      <c r="N18" s="50">
        <v>9</v>
      </c>
      <c r="O18" s="50">
        <v>9</v>
      </c>
      <c r="P18" s="50">
        <v>9</v>
      </c>
      <c r="Q18" s="50">
        <v>9</v>
      </c>
      <c r="R18" s="50">
        <v>9</v>
      </c>
      <c r="S18" s="50">
        <v>9</v>
      </c>
      <c r="T18" s="50">
        <v>9</v>
      </c>
      <c r="U18" s="50">
        <v>9</v>
      </c>
      <c r="V18" s="50">
        <v>9</v>
      </c>
      <c r="W18" s="50">
        <v>9</v>
      </c>
      <c r="X18" s="50">
        <v>9</v>
      </c>
      <c r="Y18" s="50">
        <v>9</v>
      </c>
      <c r="Z18" s="50">
        <v>9</v>
      </c>
      <c r="AA18" s="50">
        <v>9</v>
      </c>
      <c r="AB18" s="50">
        <v>9</v>
      </c>
      <c r="AC18" s="50">
        <v>9</v>
      </c>
      <c r="AD18" s="50">
        <v>9</v>
      </c>
      <c r="AE18" s="50">
        <v>9</v>
      </c>
      <c r="AF18" s="50">
        <v>9</v>
      </c>
      <c r="AG18" s="56">
        <v>30</v>
      </c>
      <c r="AH18" s="52">
        <f t="shared" si="2"/>
        <v>9</v>
      </c>
      <c r="AI18" s="53">
        <f t="shared" si="3"/>
        <v>9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7.8</v>
      </c>
      <c r="C19" s="50">
        <v>7.8</v>
      </c>
      <c r="D19" s="50">
        <v>7.8</v>
      </c>
      <c r="E19" s="50">
        <v>7.8</v>
      </c>
      <c r="F19" s="50">
        <v>7.8</v>
      </c>
      <c r="G19" s="50">
        <v>7.8</v>
      </c>
      <c r="H19" s="50">
        <v>7.8</v>
      </c>
      <c r="I19" s="50">
        <v>7.8</v>
      </c>
      <c r="J19" s="50">
        <v>7.8</v>
      </c>
      <c r="K19" s="50">
        <v>7.8</v>
      </c>
      <c r="L19" s="50">
        <v>7.8</v>
      </c>
      <c r="M19" s="50">
        <v>7.8</v>
      </c>
      <c r="N19" s="50">
        <v>7.8</v>
      </c>
      <c r="O19" s="50">
        <v>7.8</v>
      </c>
      <c r="P19" s="50">
        <v>7.8</v>
      </c>
      <c r="Q19" s="50">
        <v>7.8</v>
      </c>
      <c r="R19" s="50">
        <v>7.8</v>
      </c>
      <c r="S19" s="50">
        <v>7.8</v>
      </c>
      <c r="T19" s="50">
        <v>7.8</v>
      </c>
      <c r="U19" s="50">
        <v>7.8</v>
      </c>
      <c r="V19" s="50">
        <v>7.8</v>
      </c>
      <c r="W19" s="50">
        <v>7.8</v>
      </c>
      <c r="X19" s="50">
        <v>7.8</v>
      </c>
      <c r="Y19" s="50">
        <v>7.8</v>
      </c>
      <c r="Z19" s="50">
        <v>7.8</v>
      </c>
      <c r="AA19" s="50">
        <v>7.8</v>
      </c>
      <c r="AB19" s="50">
        <v>7.8</v>
      </c>
      <c r="AC19" s="50">
        <v>7.8</v>
      </c>
      <c r="AD19" s="50">
        <v>7.8</v>
      </c>
      <c r="AE19" s="50">
        <v>7.8</v>
      </c>
      <c r="AF19" s="50">
        <v>7.8</v>
      </c>
      <c r="AG19" s="55">
        <v>24.2</v>
      </c>
      <c r="AH19" s="52">
        <f t="shared" si="2"/>
        <v>7.8</v>
      </c>
      <c r="AI19" s="53">
        <f t="shared" si="3"/>
        <v>7.8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0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5">
        <v>28</v>
      </c>
      <c r="AH20" s="52">
        <f t="shared" si="2"/>
        <v>0</v>
      </c>
      <c r="AI20" s="53">
        <f t="shared" si="3"/>
        <v>0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6.5</v>
      </c>
      <c r="C21" s="50">
        <v>6.5</v>
      </c>
      <c r="D21" s="50">
        <v>6.5</v>
      </c>
      <c r="E21" s="50">
        <v>6.5</v>
      </c>
      <c r="F21" s="50">
        <v>6.5</v>
      </c>
      <c r="G21" s="50">
        <v>6.5</v>
      </c>
      <c r="H21" s="50">
        <v>6.5</v>
      </c>
      <c r="I21" s="50">
        <v>6.5</v>
      </c>
      <c r="J21" s="50">
        <v>6.5</v>
      </c>
      <c r="K21" s="50">
        <v>6.5</v>
      </c>
      <c r="L21" s="50">
        <v>6.5</v>
      </c>
      <c r="M21" s="50">
        <v>6.5</v>
      </c>
      <c r="N21" s="50">
        <v>6.5</v>
      </c>
      <c r="O21" s="50">
        <v>6.5</v>
      </c>
      <c r="P21" s="50">
        <v>6.5</v>
      </c>
      <c r="Q21" s="50">
        <v>6.5</v>
      </c>
      <c r="R21" s="50">
        <v>6.5</v>
      </c>
      <c r="S21" s="50">
        <v>6.5</v>
      </c>
      <c r="T21" s="50">
        <v>6.5</v>
      </c>
      <c r="U21" s="50">
        <v>6.5</v>
      </c>
      <c r="V21" s="50">
        <v>6.5</v>
      </c>
      <c r="W21" s="50">
        <v>6.5</v>
      </c>
      <c r="X21" s="50">
        <v>6.5</v>
      </c>
      <c r="Y21" s="50">
        <v>6.5</v>
      </c>
      <c r="Z21" s="50">
        <v>6.5</v>
      </c>
      <c r="AA21" s="50">
        <v>6.5</v>
      </c>
      <c r="AB21" s="50">
        <v>6.5</v>
      </c>
      <c r="AC21" s="50">
        <v>6.5</v>
      </c>
      <c r="AD21" s="50">
        <v>6.5</v>
      </c>
      <c r="AE21" s="50">
        <v>6.5</v>
      </c>
      <c r="AF21" s="50">
        <v>6.5</v>
      </c>
      <c r="AG21" s="56">
        <v>30</v>
      </c>
      <c r="AH21" s="52">
        <f t="shared" si="2"/>
        <v>6.5</v>
      </c>
      <c r="AI21" s="53">
        <f t="shared" si="3"/>
        <v>6.5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11</v>
      </c>
      <c r="C22" s="50">
        <v>11</v>
      </c>
      <c r="D22" s="50">
        <v>11</v>
      </c>
      <c r="E22" s="50">
        <v>11</v>
      </c>
      <c r="F22" s="50">
        <v>11</v>
      </c>
      <c r="G22" s="50">
        <v>11</v>
      </c>
      <c r="H22" s="50">
        <v>11</v>
      </c>
      <c r="I22" s="50">
        <v>11</v>
      </c>
      <c r="J22" s="50">
        <v>11</v>
      </c>
      <c r="K22" s="50">
        <v>11</v>
      </c>
      <c r="L22" s="50">
        <v>11</v>
      </c>
      <c r="M22" s="50">
        <v>11</v>
      </c>
      <c r="N22" s="50">
        <v>11</v>
      </c>
      <c r="O22" s="50">
        <v>11</v>
      </c>
      <c r="P22" s="50">
        <v>11</v>
      </c>
      <c r="Q22" s="50">
        <v>11</v>
      </c>
      <c r="R22" s="50">
        <v>11</v>
      </c>
      <c r="S22" s="50">
        <v>11</v>
      </c>
      <c r="T22" s="50">
        <v>11</v>
      </c>
      <c r="U22" s="50">
        <v>11</v>
      </c>
      <c r="V22" s="50">
        <v>11</v>
      </c>
      <c r="W22" s="50">
        <v>11</v>
      </c>
      <c r="X22" s="50">
        <v>11</v>
      </c>
      <c r="Y22" s="50">
        <v>11</v>
      </c>
      <c r="Z22" s="50">
        <v>11</v>
      </c>
      <c r="AA22" s="50">
        <v>11</v>
      </c>
      <c r="AB22" s="50">
        <v>11</v>
      </c>
      <c r="AC22" s="50">
        <v>11</v>
      </c>
      <c r="AD22" s="50">
        <v>11</v>
      </c>
      <c r="AE22" s="50">
        <v>11</v>
      </c>
      <c r="AF22" s="50">
        <v>11</v>
      </c>
      <c r="AG22" s="55">
        <v>25</v>
      </c>
      <c r="AH22" s="52">
        <f t="shared" si="2"/>
        <v>11</v>
      </c>
      <c r="AI22" s="53">
        <f t="shared" si="3"/>
        <v>11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5">
        <v>25</v>
      </c>
      <c r="AH23" s="52">
        <f t="shared" si="2"/>
        <v>9</v>
      </c>
      <c r="AI23" s="53">
        <f t="shared" si="3"/>
        <v>9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5.9</v>
      </c>
      <c r="C26" s="50">
        <v>5.9</v>
      </c>
      <c r="D26" s="50">
        <v>5.9</v>
      </c>
      <c r="E26" s="50">
        <v>5.9</v>
      </c>
      <c r="F26" s="50">
        <v>5.9</v>
      </c>
      <c r="G26" s="50">
        <v>5.9</v>
      </c>
      <c r="H26" s="50">
        <v>5.9</v>
      </c>
      <c r="I26" s="50">
        <v>5.9</v>
      </c>
      <c r="J26" s="50">
        <v>5.9</v>
      </c>
      <c r="K26" s="50">
        <v>5.9</v>
      </c>
      <c r="L26" s="50">
        <v>5.9</v>
      </c>
      <c r="M26" s="50">
        <v>5.9</v>
      </c>
      <c r="N26" s="50">
        <v>5.9</v>
      </c>
      <c r="O26" s="50">
        <v>5.9</v>
      </c>
      <c r="P26" s="50">
        <v>5.9</v>
      </c>
      <c r="Q26" s="50">
        <v>5.9</v>
      </c>
      <c r="R26" s="50">
        <v>5.9</v>
      </c>
      <c r="S26" s="50">
        <v>5.9</v>
      </c>
      <c r="T26" s="50">
        <v>5.9</v>
      </c>
      <c r="U26" s="50">
        <v>5.9</v>
      </c>
      <c r="V26" s="50">
        <v>5.9</v>
      </c>
      <c r="W26" s="50">
        <v>5.9</v>
      </c>
      <c r="X26" s="50">
        <v>5.9</v>
      </c>
      <c r="Y26" s="50">
        <v>5.9</v>
      </c>
      <c r="Z26" s="50">
        <v>5.9</v>
      </c>
      <c r="AA26" s="50">
        <v>5.9</v>
      </c>
      <c r="AB26" s="50">
        <v>5.9</v>
      </c>
      <c r="AC26" s="50">
        <v>5.9</v>
      </c>
      <c r="AD26" s="50">
        <v>5.9</v>
      </c>
      <c r="AE26" s="50">
        <v>5.9</v>
      </c>
      <c r="AF26" s="50">
        <v>5.9</v>
      </c>
      <c r="AG26" s="55">
        <v>23.5</v>
      </c>
      <c r="AH26" s="52">
        <f t="shared" si="2"/>
        <v>5.9</v>
      </c>
      <c r="AI26" s="53">
        <f t="shared" si="3"/>
        <v>5.9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5">
        <v>22</v>
      </c>
      <c r="AH29" s="52">
        <f t="shared" si="2"/>
        <v>4</v>
      </c>
      <c r="AI29" s="53">
        <f t="shared" si="3"/>
        <v>4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6.7</v>
      </c>
      <c r="C30" s="50">
        <v>6.7</v>
      </c>
      <c r="D30" s="50">
        <v>6.7</v>
      </c>
      <c r="E30" s="50">
        <v>6.7</v>
      </c>
      <c r="F30" s="50">
        <v>6.7</v>
      </c>
      <c r="G30" s="50">
        <v>6.7</v>
      </c>
      <c r="H30" s="50">
        <v>6.7</v>
      </c>
      <c r="I30" s="50">
        <v>6.7</v>
      </c>
      <c r="J30" s="50">
        <v>6.7</v>
      </c>
      <c r="K30" s="50">
        <v>6.7</v>
      </c>
      <c r="L30" s="50">
        <v>6.7</v>
      </c>
      <c r="M30" s="50">
        <v>6.7</v>
      </c>
      <c r="N30" s="50">
        <v>6.7</v>
      </c>
      <c r="O30" s="50">
        <v>6.7</v>
      </c>
      <c r="P30" s="50">
        <v>6.7</v>
      </c>
      <c r="Q30" s="50">
        <v>6.7</v>
      </c>
      <c r="R30" s="50">
        <v>6.7</v>
      </c>
      <c r="S30" s="50">
        <v>6.7</v>
      </c>
      <c r="T30" s="50">
        <v>6.7</v>
      </c>
      <c r="U30" s="50">
        <v>6.7</v>
      </c>
      <c r="V30" s="50">
        <v>6.7</v>
      </c>
      <c r="W30" s="50">
        <v>6.7</v>
      </c>
      <c r="X30" s="50">
        <v>6.7</v>
      </c>
      <c r="Y30" s="50">
        <v>6.7</v>
      </c>
      <c r="Z30" s="50">
        <v>6.7</v>
      </c>
      <c r="AA30" s="50">
        <v>6.7</v>
      </c>
      <c r="AB30" s="50">
        <v>6.7</v>
      </c>
      <c r="AC30" s="50">
        <v>6.7</v>
      </c>
      <c r="AD30" s="50">
        <v>6.7</v>
      </c>
      <c r="AE30" s="50">
        <v>6.7</v>
      </c>
      <c r="AF30" s="50">
        <v>6.7</v>
      </c>
      <c r="AG30" s="55">
        <v>22</v>
      </c>
      <c r="AH30" s="52">
        <f t="shared" si="2"/>
        <v>6.7</v>
      </c>
      <c r="AI30" s="53">
        <f t="shared" si="3"/>
        <v>6.7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55">
        <v>20</v>
      </c>
      <c r="AH31" s="52">
        <f t="shared" si="2"/>
        <v>6</v>
      </c>
      <c r="AI31" s="53">
        <f t="shared" si="3"/>
        <v>6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>
        <v>4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5.2</v>
      </c>
      <c r="C38" s="50">
        <v>5.2</v>
      </c>
      <c r="D38" s="50">
        <v>5.2</v>
      </c>
      <c r="E38" s="50">
        <v>5.2</v>
      </c>
      <c r="F38" s="50">
        <v>5.2</v>
      </c>
      <c r="G38" s="50">
        <v>5.2</v>
      </c>
      <c r="H38" s="50">
        <v>5.2</v>
      </c>
      <c r="I38" s="50">
        <v>5.2</v>
      </c>
      <c r="J38" s="50">
        <v>5.2</v>
      </c>
      <c r="K38" s="50">
        <v>5.2</v>
      </c>
      <c r="L38" s="50">
        <v>5.2</v>
      </c>
      <c r="M38" s="50">
        <v>5.2</v>
      </c>
      <c r="N38" s="50">
        <v>5.2</v>
      </c>
      <c r="O38" s="50">
        <v>5.2</v>
      </c>
      <c r="P38" s="50">
        <v>5.2</v>
      </c>
      <c r="Q38" s="50">
        <v>5.2</v>
      </c>
      <c r="R38" s="50">
        <v>5.2</v>
      </c>
      <c r="S38" s="50">
        <v>5.2</v>
      </c>
      <c r="T38" s="50">
        <v>5.2</v>
      </c>
      <c r="U38" s="50">
        <v>5.2</v>
      </c>
      <c r="V38" s="50">
        <v>5.2</v>
      </c>
      <c r="W38" s="50">
        <v>5.2</v>
      </c>
      <c r="X38" s="50">
        <v>5.2</v>
      </c>
      <c r="Y38" s="50">
        <v>5.2</v>
      </c>
      <c r="Z38" s="50">
        <v>5.2</v>
      </c>
      <c r="AA38" s="50">
        <v>5.2</v>
      </c>
      <c r="AB38" s="50">
        <v>5.2</v>
      </c>
      <c r="AC38" s="50">
        <v>5.2</v>
      </c>
      <c r="AD38" s="50">
        <v>5.2</v>
      </c>
      <c r="AE38" s="50">
        <v>5.2</v>
      </c>
      <c r="AF38" s="50">
        <v>5.2</v>
      </c>
      <c r="AG38" s="55">
        <v>12</v>
      </c>
      <c r="AH38" s="52">
        <f t="shared" si="2"/>
        <v>5.2</v>
      </c>
      <c r="AI38" s="53">
        <f t="shared" si="3"/>
        <v>5.2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50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3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120</v>
      </c>
      <c r="C46" s="63">
        <v>120</v>
      </c>
      <c r="D46" s="63">
        <v>120</v>
      </c>
      <c r="E46" s="63">
        <v>120</v>
      </c>
      <c r="F46" s="63">
        <v>120</v>
      </c>
      <c r="G46" s="63">
        <v>120</v>
      </c>
      <c r="H46" s="63">
        <v>120</v>
      </c>
      <c r="I46" s="63">
        <v>120</v>
      </c>
      <c r="J46" s="63">
        <v>120</v>
      </c>
      <c r="K46" s="63">
        <v>120</v>
      </c>
      <c r="L46" s="63">
        <v>120</v>
      </c>
      <c r="M46" s="63">
        <v>120</v>
      </c>
      <c r="N46" s="63">
        <v>120</v>
      </c>
      <c r="O46" s="63">
        <v>120</v>
      </c>
      <c r="P46" s="63">
        <v>120</v>
      </c>
      <c r="Q46" s="63">
        <v>120</v>
      </c>
      <c r="R46" s="63">
        <v>120</v>
      </c>
      <c r="S46" s="63">
        <v>120</v>
      </c>
      <c r="T46" s="63">
        <v>120</v>
      </c>
      <c r="U46" s="63">
        <v>120</v>
      </c>
      <c r="V46" s="63">
        <v>120</v>
      </c>
      <c r="W46" s="63">
        <v>120</v>
      </c>
      <c r="X46" s="63">
        <v>120</v>
      </c>
      <c r="Y46" s="63">
        <v>120</v>
      </c>
      <c r="Z46" s="63">
        <v>120</v>
      </c>
      <c r="AA46" s="63">
        <v>120</v>
      </c>
      <c r="AB46" s="63">
        <v>120</v>
      </c>
      <c r="AC46" s="63">
        <v>120</v>
      </c>
      <c r="AD46" s="63">
        <v>120</v>
      </c>
      <c r="AE46" s="63">
        <v>120</v>
      </c>
      <c r="AF46" s="63">
        <v>120</v>
      </c>
      <c r="AG46" s="61">
        <v>85</v>
      </c>
      <c r="AH46" s="52">
        <f t="shared" si="2"/>
        <v>120</v>
      </c>
      <c r="AI46" s="53">
        <f t="shared" si="3"/>
        <v>120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>SUM(B11:B46)</f>
        <v>393.5</v>
      </c>
      <c r="C48" s="67">
        <f>SUM(C11:C46)</f>
        <v>393.5</v>
      </c>
      <c r="D48" s="67">
        <f t="shared" ref="D48:AG48" si="4">SUM(D12:D46)</f>
        <v>369.5</v>
      </c>
      <c r="E48" s="67">
        <f t="shared" si="4"/>
        <v>369.5</v>
      </c>
      <c r="F48" s="67">
        <f t="shared" si="4"/>
        <v>369.5</v>
      </c>
      <c r="G48" s="67">
        <f t="shared" si="4"/>
        <v>369.5</v>
      </c>
      <c r="H48" s="67">
        <f t="shared" si="4"/>
        <v>369.5</v>
      </c>
      <c r="I48" s="67">
        <f t="shared" si="4"/>
        <v>369.5</v>
      </c>
      <c r="J48" s="67">
        <f t="shared" si="4"/>
        <v>369.5</v>
      </c>
      <c r="K48" s="67">
        <f t="shared" si="4"/>
        <v>369.5</v>
      </c>
      <c r="L48" s="67">
        <f t="shared" si="4"/>
        <v>369.5</v>
      </c>
      <c r="M48" s="67">
        <f t="shared" si="4"/>
        <v>369.5</v>
      </c>
      <c r="N48" s="67">
        <f t="shared" si="4"/>
        <v>369.5</v>
      </c>
      <c r="O48" s="67">
        <f t="shared" si="4"/>
        <v>369.5</v>
      </c>
      <c r="P48" s="67">
        <f t="shared" si="4"/>
        <v>369.5</v>
      </c>
      <c r="Q48" s="67">
        <f t="shared" si="4"/>
        <v>369.5</v>
      </c>
      <c r="R48" s="67">
        <f t="shared" si="4"/>
        <v>369.5</v>
      </c>
      <c r="S48" s="67">
        <f t="shared" ref="S48:T48" si="5">SUM(S12:S46)</f>
        <v>369.5</v>
      </c>
      <c r="T48" s="67">
        <f t="shared" si="5"/>
        <v>369.5</v>
      </c>
      <c r="U48" s="67">
        <f t="shared" ref="U48:V48" si="6">SUM(U12:U46)</f>
        <v>369.5</v>
      </c>
      <c r="V48" s="67">
        <f t="shared" si="6"/>
        <v>369.5</v>
      </c>
      <c r="W48" s="67">
        <f t="shared" ref="W48" si="7">SUM(W12:W46)</f>
        <v>369.5</v>
      </c>
      <c r="X48" s="67">
        <f t="shared" si="4"/>
        <v>369.5</v>
      </c>
      <c r="Y48" s="67">
        <f t="shared" ref="Y48" si="8">SUM(Y12:Y46)</f>
        <v>369.5</v>
      </c>
      <c r="Z48" s="67">
        <v>370.59999999999997</v>
      </c>
      <c r="AA48" s="67">
        <v>370.59999999999997</v>
      </c>
      <c r="AB48" s="67">
        <f t="shared" si="4"/>
        <v>370.59999999999997</v>
      </c>
      <c r="AC48" s="67">
        <f t="shared" si="4"/>
        <v>370.59999999999997</v>
      </c>
      <c r="AD48" s="67">
        <f t="shared" si="4"/>
        <v>370.59999999999997</v>
      </c>
      <c r="AE48" s="67">
        <f t="shared" si="4"/>
        <v>370.59999999999997</v>
      </c>
      <c r="AF48" s="67">
        <f t="shared" si="4"/>
        <v>370.59999999999997</v>
      </c>
      <c r="AG48" s="68">
        <f t="shared" si="4"/>
        <v>875.68</v>
      </c>
      <c r="AH48" s="52">
        <f t="shared" si="2"/>
        <v>393.5</v>
      </c>
      <c r="AI48" s="53">
        <f t="shared" si="3"/>
        <v>369.5</v>
      </c>
      <c r="AK48" s="54"/>
    </row>
    <row r="49" spans="1:41" x14ac:dyDescent="0.25">
      <c r="A49" s="69" t="s">
        <v>57</v>
      </c>
      <c r="B49" s="50">
        <v>240</v>
      </c>
      <c r="C49" s="50">
        <v>240</v>
      </c>
      <c r="D49" s="50">
        <v>40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15</v>
      </c>
      <c r="Q49" s="50">
        <v>15</v>
      </c>
      <c r="R49" s="50">
        <v>15</v>
      </c>
      <c r="S49" s="50">
        <v>45</v>
      </c>
      <c r="T49" s="50">
        <v>15</v>
      </c>
      <c r="U49" s="50">
        <v>0</v>
      </c>
      <c r="V49" s="50">
        <v>0</v>
      </c>
      <c r="W49" s="50">
        <v>0</v>
      </c>
      <c r="X49" s="50">
        <v>20</v>
      </c>
      <c r="Y49" s="50">
        <v>20</v>
      </c>
      <c r="Z49" s="50">
        <v>20</v>
      </c>
      <c r="AA49" s="50">
        <v>220</v>
      </c>
      <c r="AB49" s="50">
        <v>133.6</v>
      </c>
      <c r="AC49" s="50">
        <v>117</v>
      </c>
      <c r="AD49" s="50">
        <v>150</v>
      </c>
      <c r="AE49" s="50">
        <v>188</v>
      </c>
      <c r="AF49" s="50">
        <v>190</v>
      </c>
      <c r="AG49" s="56">
        <v>456</v>
      </c>
      <c r="AH49" s="52">
        <f t="shared" si="2"/>
        <v>240</v>
      </c>
      <c r="AI49" s="53">
        <f t="shared" si="3"/>
        <v>0</v>
      </c>
      <c r="AK49" s="54"/>
    </row>
    <row r="50" spans="1:41" x14ac:dyDescent="0.25">
      <c r="A50" s="71" t="s">
        <v>58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25</v>
      </c>
      <c r="O50" s="72">
        <v>25</v>
      </c>
      <c r="P50" s="72">
        <v>25</v>
      </c>
      <c r="Q50" s="72">
        <v>25</v>
      </c>
      <c r="R50" s="72">
        <v>25</v>
      </c>
      <c r="S50" s="72">
        <v>25</v>
      </c>
      <c r="T50" s="72">
        <v>25</v>
      </c>
      <c r="U50" s="72">
        <v>25</v>
      </c>
      <c r="V50" s="72">
        <v>25</v>
      </c>
      <c r="W50" s="72">
        <v>25</v>
      </c>
      <c r="X50" s="72">
        <v>25</v>
      </c>
      <c r="Y50" s="72">
        <v>25</v>
      </c>
      <c r="Z50" s="72">
        <v>25</v>
      </c>
      <c r="AA50" s="72">
        <v>25</v>
      </c>
      <c r="AB50" s="72">
        <v>25</v>
      </c>
      <c r="AC50" s="72">
        <v>25</v>
      </c>
      <c r="AD50" s="72">
        <v>25</v>
      </c>
      <c r="AE50" s="72">
        <v>25</v>
      </c>
      <c r="AF50" s="72">
        <v>25</v>
      </c>
      <c r="AG50" s="61">
        <v>60</v>
      </c>
      <c r="AH50" s="52">
        <f t="shared" si="2"/>
        <v>25</v>
      </c>
      <c r="AI50" s="53">
        <f t="shared" si="3"/>
        <v>25</v>
      </c>
      <c r="AK50" s="54"/>
    </row>
    <row r="51" spans="1:41" ht="15.75" thickBot="1" x14ac:dyDescent="0.3">
      <c r="A51" s="73" t="s">
        <v>59</v>
      </c>
      <c r="B51" s="74">
        <v>12.5</v>
      </c>
      <c r="C51" s="74">
        <v>12.5</v>
      </c>
      <c r="D51" s="74">
        <v>12.5</v>
      </c>
      <c r="E51" s="74">
        <v>13.2</v>
      </c>
      <c r="F51" s="74">
        <v>12.1</v>
      </c>
      <c r="G51" s="74">
        <v>12.2</v>
      </c>
      <c r="H51" s="74">
        <v>12.2</v>
      </c>
      <c r="I51" s="74">
        <v>12.2</v>
      </c>
      <c r="J51" s="74">
        <v>12.2</v>
      </c>
      <c r="K51" s="74">
        <v>12.3</v>
      </c>
      <c r="L51" s="74">
        <v>12.2</v>
      </c>
      <c r="M51" s="74">
        <v>12.2</v>
      </c>
      <c r="N51" s="74">
        <v>12.2</v>
      </c>
      <c r="O51" s="74">
        <v>12.2</v>
      </c>
      <c r="P51" s="74">
        <v>12.2</v>
      </c>
      <c r="Q51" s="74">
        <v>12.2</v>
      </c>
      <c r="R51" s="74">
        <v>12.2</v>
      </c>
      <c r="S51" s="74">
        <v>12.2</v>
      </c>
      <c r="T51" s="74">
        <v>12.2</v>
      </c>
      <c r="U51" s="74">
        <v>12.2</v>
      </c>
      <c r="V51" s="74">
        <v>12.2</v>
      </c>
      <c r="W51" s="74">
        <v>12.2</v>
      </c>
      <c r="X51" s="74">
        <v>12.2</v>
      </c>
      <c r="Y51" s="74">
        <v>12.2</v>
      </c>
      <c r="Z51" s="74">
        <v>15</v>
      </c>
      <c r="AA51" s="74">
        <v>15</v>
      </c>
      <c r="AB51" s="74">
        <v>15</v>
      </c>
      <c r="AC51" s="74">
        <v>15</v>
      </c>
      <c r="AD51" s="74">
        <v>15</v>
      </c>
      <c r="AE51" s="74">
        <v>15</v>
      </c>
      <c r="AF51" s="74">
        <v>15</v>
      </c>
      <c r="AG51" s="75">
        <v>22.1</v>
      </c>
      <c r="AH51" s="52">
        <f t="shared" si="2"/>
        <v>15</v>
      </c>
      <c r="AI51" s="53">
        <f t="shared" si="3"/>
        <v>12.1</v>
      </c>
      <c r="AK51" s="54"/>
    </row>
    <row r="52" spans="1:41" ht="15.75" thickBot="1" x14ac:dyDescent="0.3">
      <c r="A52" s="76" t="s">
        <v>60</v>
      </c>
      <c r="B52" s="67">
        <f t="shared" ref="B52:AG52" si="9">SUM(B49:B51)</f>
        <v>277.5</v>
      </c>
      <c r="C52" s="67">
        <f t="shared" si="9"/>
        <v>277.5</v>
      </c>
      <c r="D52" s="67">
        <f t="shared" si="9"/>
        <v>77.5</v>
      </c>
      <c r="E52" s="67">
        <f t="shared" si="9"/>
        <v>38.200000000000003</v>
      </c>
      <c r="F52" s="67">
        <f t="shared" si="9"/>
        <v>37.1</v>
      </c>
      <c r="G52" s="67">
        <f t="shared" si="9"/>
        <v>37.200000000000003</v>
      </c>
      <c r="H52" s="67">
        <f t="shared" si="9"/>
        <v>37.200000000000003</v>
      </c>
      <c r="I52" s="67">
        <f t="shared" si="9"/>
        <v>37.200000000000003</v>
      </c>
      <c r="J52" s="67">
        <f t="shared" si="9"/>
        <v>37.200000000000003</v>
      </c>
      <c r="K52" s="67">
        <f t="shared" si="9"/>
        <v>37.299999999999997</v>
      </c>
      <c r="L52" s="67">
        <f t="shared" si="9"/>
        <v>37.200000000000003</v>
      </c>
      <c r="M52" s="67">
        <f t="shared" si="9"/>
        <v>37.200000000000003</v>
      </c>
      <c r="N52" s="67">
        <f t="shared" si="9"/>
        <v>37.200000000000003</v>
      </c>
      <c r="O52" s="67">
        <f t="shared" si="9"/>
        <v>37.200000000000003</v>
      </c>
      <c r="P52" s="67">
        <f t="shared" si="9"/>
        <v>52.2</v>
      </c>
      <c r="Q52" s="67">
        <f t="shared" si="9"/>
        <v>52.2</v>
      </c>
      <c r="R52" s="67">
        <f t="shared" si="9"/>
        <v>52.2</v>
      </c>
      <c r="S52" s="67">
        <f t="shared" ref="S52:T52" si="10">SUM(S49:S51)</f>
        <v>82.2</v>
      </c>
      <c r="T52" s="67">
        <f t="shared" si="10"/>
        <v>52.2</v>
      </c>
      <c r="U52" s="67">
        <f t="shared" ref="U52:V52" si="11">SUM(U49:U51)</f>
        <v>37.200000000000003</v>
      </c>
      <c r="V52" s="67">
        <f t="shared" si="11"/>
        <v>37.200000000000003</v>
      </c>
      <c r="W52" s="67">
        <f t="shared" si="9"/>
        <v>37.200000000000003</v>
      </c>
      <c r="X52" s="67">
        <f t="shared" si="9"/>
        <v>57.2</v>
      </c>
      <c r="Y52" s="67">
        <f t="shared" ref="Y52:AA52" si="12">SUM(Y49:Y51)</f>
        <v>57.2</v>
      </c>
      <c r="Z52" s="67">
        <f t="shared" si="12"/>
        <v>60</v>
      </c>
      <c r="AA52" s="67">
        <f t="shared" si="12"/>
        <v>260</v>
      </c>
      <c r="AB52" s="67">
        <f t="shared" si="9"/>
        <v>173.6</v>
      </c>
      <c r="AC52" s="67">
        <f t="shared" si="9"/>
        <v>157</v>
      </c>
      <c r="AD52" s="67">
        <f t="shared" si="9"/>
        <v>190</v>
      </c>
      <c r="AE52" s="67">
        <f t="shared" si="9"/>
        <v>228</v>
      </c>
      <c r="AF52" s="67">
        <f t="shared" si="9"/>
        <v>230</v>
      </c>
      <c r="AG52" s="68">
        <f t="shared" si="9"/>
        <v>538.1</v>
      </c>
      <c r="AH52" s="52">
        <f t="shared" si="2"/>
        <v>277.5</v>
      </c>
      <c r="AI52" s="53">
        <f t="shared" si="3"/>
        <v>37.1</v>
      </c>
      <c r="AK52" s="54"/>
    </row>
    <row r="53" spans="1:41" x14ac:dyDescent="0.25">
      <c r="A53" s="49" t="s">
        <v>61</v>
      </c>
      <c r="B53" s="50">
        <v>81</v>
      </c>
      <c r="C53" s="50">
        <v>61</v>
      </c>
      <c r="D53" s="50">
        <v>61</v>
      </c>
      <c r="E53" s="50">
        <v>46.8</v>
      </c>
      <c r="F53" s="50">
        <v>46.6</v>
      </c>
      <c r="G53" s="50">
        <v>46.9</v>
      </c>
      <c r="H53" s="50">
        <v>60.9</v>
      </c>
      <c r="I53" s="50">
        <v>61.2</v>
      </c>
      <c r="J53" s="50">
        <v>66.2</v>
      </c>
      <c r="K53" s="50">
        <v>48</v>
      </c>
      <c r="L53" s="50">
        <v>40</v>
      </c>
      <c r="M53" s="50">
        <v>40.799999999999997</v>
      </c>
      <c r="N53" s="50">
        <v>41</v>
      </c>
      <c r="O53" s="50">
        <v>48.4</v>
      </c>
      <c r="P53" s="50">
        <v>81</v>
      </c>
      <c r="Q53" s="50">
        <v>95</v>
      </c>
      <c r="R53" s="50">
        <v>95</v>
      </c>
      <c r="S53" s="50">
        <v>95.7</v>
      </c>
      <c r="T53" s="50">
        <v>95.7</v>
      </c>
      <c r="U53" s="50">
        <v>95.7</v>
      </c>
      <c r="V53" s="50">
        <v>95.7</v>
      </c>
      <c r="W53" s="50">
        <v>95.7</v>
      </c>
      <c r="X53" s="50">
        <v>86.5</v>
      </c>
      <c r="Y53" s="50">
        <v>81.400000000000006</v>
      </c>
      <c r="Z53" s="50">
        <v>95</v>
      </c>
      <c r="AA53" s="50">
        <v>96.6</v>
      </c>
      <c r="AB53" s="50">
        <v>96.6</v>
      </c>
      <c r="AC53" s="50">
        <v>96.6</v>
      </c>
      <c r="AD53" s="50">
        <v>96.6</v>
      </c>
      <c r="AE53" s="50">
        <v>97.4</v>
      </c>
      <c r="AF53" s="50">
        <v>49.2</v>
      </c>
      <c r="AG53" s="56">
        <v>144</v>
      </c>
      <c r="AH53" s="52">
        <f t="shared" si="2"/>
        <v>97.4</v>
      </c>
      <c r="AI53" s="53">
        <f t="shared" si="3"/>
        <v>40</v>
      </c>
      <c r="AK53" s="54"/>
    </row>
    <row r="54" spans="1:41" x14ac:dyDescent="0.25">
      <c r="A54" s="60" t="s">
        <v>62</v>
      </c>
      <c r="B54" s="72">
        <v>44</v>
      </c>
      <c r="C54" s="72">
        <v>22</v>
      </c>
      <c r="D54" s="72">
        <v>22</v>
      </c>
      <c r="E54" s="72">
        <v>21.6</v>
      </c>
      <c r="F54" s="72">
        <v>21.2</v>
      </c>
      <c r="G54" s="72">
        <v>22</v>
      </c>
      <c r="H54" s="72">
        <v>21.5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22</v>
      </c>
      <c r="Q54" s="72">
        <v>35</v>
      </c>
      <c r="R54" s="72">
        <v>35</v>
      </c>
      <c r="S54" s="72">
        <v>49.4</v>
      </c>
      <c r="T54" s="72">
        <v>50.7</v>
      </c>
      <c r="U54" s="72">
        <v>50.7</v>
      </c>
      <c r="V54" s="72">
        <v>50.7</v>
      </c>
      <c r="W54" s="72">
        <v>43</v>
      </c>
      <c r="X54" s="72">
        <v>43</v>
      </c>
      <c r="Y54" s="72">
        <v>35.1</v>
      </c>
      <c r="Z54" s="50">
        <v>50.1</v>
      </c>
      <c r="AA54" s="50">
        <v>42.5</v>
      </c>
      <c r="AB54" s="72">
        <v>23.2</v>
      </c>
      <c r="AC54" s="72">
        <v>23.2</v>
      </c>
      <c r="AD54" s="72">
        <v>23</v>
      </c>
      <c r="AE54" s="72">
        <v>23</v>
      </c>
      <c r="AF54" s="72">
        <v>33.700000000000003</v>
      </c>
      <c r="AG54" s="61">
        <v>70</v>
      </c>
      <c r="AH54" s="52">
        <f t="shared" si="2"/>
        <v>50.7</v>
      </c>
      <c r="AI54" s="53">
        <f t="shared" si="3"/>
        <v>0</v>
      </c>
      <c r="AK54" s="54"/>
    </row>
    <row r="55" spans="1:41" x14ac:dyDescent="0.25">
      <c r="A55" s="60" t="s">
        <v>63</v>
      </c>
      <c r="B55" s="72">
        <v>69</v>
      </c>
      <c r="C55" s="72">
        <v>48</v>
      </c>
      <c r="D55" s="72">
        <v>34</v>
      </c>
      <c r="E55" s="72">
        <v>34.200000000000003</v>
      </c>
      <c r="F55" s="72">
        <v>34.200000000000003</v>
      </c>
      <c r="G55" s="72">
        <v>47.2</v>
      </c>
      <c r="H55" s="72">
        <v>32.9</v>
      </c>
      <c r="I55" s="72">
        <v>15</v>
      </c>
      <c r="J55" s="72">
        <v>23</v>
      </c>
      <c r="K55" s="72">
        <v>0</v>
      </c>
      <c r="L55" s="72">
        <v>0</v>
      </c>
      <c r="M55" s="72">
        <v>0</v>
      </c>
      <c r="N55" s="72">
        <v>0</v>
      </c>
      <c r="O55" s="72">
        <v>0</v>
      </c>
      <c r="P55" s="72">
        <v>0</v>
      </c>
      <c r="Q55" s="72">
        <v>0</v>
      </c>
      <c r="R55" s="72">
        <v>0</v>
      </c>
      <c r="S55" s="72">
        <v>41.1</v>
      </c>
      <c r="T55" s="72">
        <v>34.4</v>
      </c>
      <c r="U55" s="72">
        <v>34.4</v>
      </c>
      <c r="V55" s="72">
        <v>34.4</v>
      </c>
      <c r="W55" s="72">
        <v>22.7</v>
      </c>
      <c r="X55" s="72">
        <v>22.7</v>
      </c>
      <c r="Y55" s="72">
        <v>22.7</v>
      </c>
      <c r="Z55" s="50">
        <v>33.799999999999997</v>
      </c>
      <c r="AA55" s="50">
        <v>33.700000000000003</v>
      </c>
      <c r="AB55" s="72">
        <v>34</v>
      </c>
      <c r="AC55" s="72">
        <v>34</v>
      </c>
      <c r="AD55" s="72">
        <v>34.700000000000003</v>
      </c>
      <c r="AE55" s="72">
        <v>34.700000000000003</v>
      </c>
      <c r="AF55" s="72">
        <v>45.4</v>
      </c>
      <c r="AG55" s="61">
        <v>69</v>
      </c>
      <c r="AH55" s="52">
        <f t="shared" si="2"/>
        <v>69</v>
      </c>
      <c r="AI55" s="53">
        <f t="shared" si="3"/>
        <v>0</v>
      </c>
      <c r="AK55" s="54"/>
    </row>
    <row r="56" spans="1:41" x14ac:dyDescent="0.25">
      <c r="A56" s="60" t="s">
        <v>64</v>
      </c>
      <c r="B56" s="72">
        <v>48</v>
      </c>
      <c r="C56" s="72">
        <v>48</v>
      </c>
      <c r="D56" s="72">
        <v>46</v>
      </c>
      <c r="E56" s="63">
        <v>46.4</v>
      </c>
      <c r="F56" s="63">
        <v>44.3</v>
      </c>
      <c r="G56" s="63">
        <v>44.1</v>
      </c>
      <c r="H56" s="63">
        <v>39.299999999999997</v>
      </c>
      <c r="I56" s="63">
        <v>39.299999999999997</v>
      </c>
      <c r="J56" s="63">
        <v>39.6</v>
      </c>
      <c r="K56" s="63">
        <v>40.299999999999997</v>
      </c>
      <c r="L56" s="63">
        <v>42.3</v>
      </c>
      <c r="M56" s="63">
        <v>42.3</v>
      </c>
      <c r="N56" s="63">
        <v>42.3</v>
      </c>
      <c r="O56" s="72">
        <v>41.1</v>
      </c>
      <c r="P56" s="72">
        <v>41.1</v>
      </c>
      <c r="Q56" s="72">
        <v>41.1</v>
      </c>
      <c r="R56" s="72">
        <v>41.1</v>
      </c>
      <c r="S56" s="72">
        <v>39.799999999999997</v>
      </c>
      <c r="T56" s="72">
        <v>38</v>
      </c>
      <c r="U56" s="72">
        <v>38</v>
      </c>
      <c r="V56" s="72">
        <v>38</v>
      </c>
      <c r="W56" s="72">
        <v>38</v>
      </c>
      <c r="X56" s="72">
        <v>38</v>
      </c>
      <c r="Y56" s="72">
        <v>38</v>
      </c>
      <c r="Z56" s="50">
        <v>38</v>
      </c>
      <c r="AA56" s="50">
        <v>38.799999999999997</v>
      </c>
      <c r="AB56" s="72">
        <v>39</v>
      </c>
      <c r="AC56" s="72">
        <v>39</v>
      </c>
      <c r="AD56" s="72">
        <v>39</v>
      </c>
      <c r="AE56" s="72">
        <v>39</v>
      </c>
      <c r="AF56" s="72">
        <v>39</v>
      </c>
      <c r="AG56" s="61">
        <v>60</v>
      </c>
      <c r="AH56" s="52">
        <f t="shared" si="2"/>
        <v>48</v>
      </c>
      <c r="AI56" s="53">
        <f t="shared" si="3"/>
        <v>38</v>
      </c>
      <c r="AK56" s="54"/>
    </row>
    <row r="57" spans="1:41" x14ac:dyDescent="0.25">
      <c r="A57" s="60" t="s">
        <v>65</v>
      </c>
      <c r="B57" s="72">
        <v>10</v>
      </c>
      <c r="C57" s="72">
        <v>10</v>
      </c>
      <c r="D57" s="72">
        <v>10</v>
      </c>
      <c r="E57" s="63">
        <v>10</v>
      </c>
      <c r="F57" s="63">
        <v>10</v>
      </c>
      <c r="G57" s="63">
        <v>10</v>
      </c>
      <c r="H57" s="63">
        <v>10</v>
      </c>
      <c r="I57" s="63">
        <v>10</v>
      </c>
      <c r="J57" s="63">
        <v>0</v>
      </c>
      <c r="K57" s="63">
        <v>0</v>
      </c>
      <c r="L57" s="63">
        <v>0</v>
      </c>
      <c r="M57" s="63">
        <v>0</v>
      </c>
      <c r="N57" s="63">
        <v>0</v>
      </c>
      <c r="O57" s="72">
        <v>0</v>
      </c>
      <c r="P57" s="72">
        <v>0</v>
      </c>
      <c r="Q57" s="72">
        <v>15</v>
      </c>
      <c r="R57" s="72">
        <v>15</v>
      </c>
      <c r="S57" s="72">
        <v>15</v>
      </c>
      <c r="T57" s="72">
        <v>15</v>
      </c>
      <c r="U57" s="72">
        <v>15</v>
      </c>
      <c r="V57" s="72">
        <v>15</v>
      </c>
      <c r="W57" s="72">
        <v>0</v>
      </c>
      <c r="X57" s="72">
        <v>0</v>
      </c>
      <c r="Y57" s="72">
        <v>0</v>
      </c>
      <c r="Z57" s="50">
        <v>0</v>
      </c>
      <c r="AA57" s="50">
        <v>0</v>
      </c>
      <c r="AB57" s="72">
        <v>29</v>
      </c>
      <c r="AC57" s="72">
        <v>15</v>
      </c>
      <c r="AD57" s="72">
        <v>15</v>
      </c>
      <c r="AE57" s="72">
        <v>15</v>
      </c>
      <c r="AF57" s="72">
        <v>12</v>
      </c>
      <c r="AG57" s="61">
        <v>30</v>
      </c>
      <c r="AH57" s="52">
        <f t="shared" si="2"/>
        <v>29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72">
        <v>0</v>
      </c>
      <c r="F58" s="50">
        <v>0</v>
      </c>
      <c r="G58" s="50">
        <v>0</v>
      </c>
      <c r="H58" s="50">
        <v>0</v>
      </c>
      <c r="I58" s="50">
        <v>0</v>
      </c>
      <c r="J58" s="50">
        <v>1.3</v>
      </c>
      <c r="K58" s="50">
        <v>3.3</v>
      </c>
      <c r="L58" s="50">
        <v>6</v>
      </c>
      <c r="M58" s="50">
        <v>6</v>
      </c>
      <c r="N58" s="50">
        <v>6</v>
      </c>
      <c r="O58" s="72">
        <v>13</v>
      </c>
      <c r="P58" s="72">
        <v>13</v>
      </c>
      <c r="Q58" s="72">
        <v>13</v>
      </c>
      <c r="R58" s="72">
        <v>13</v>
      </c>
      <c r="S58" s="72">
        <v>13</v>
      </c>
      <c r="T58" s="72">
        <v>13</v>
      </c>
      <c r="U58" s="72">
        <v>13</v>
      </c>
      <c r="V58" s="72">
        <v>13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1">
        <v>25</v>
      </c>
      <c r="AH58" s="52">
        <f t="shared" si="2"/>
        <v>13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15</v>
      </c>
      <c r="C59" s="72">
        <v>15</v>
      </c>
      <c r="D59" s="72">
        <v>15</v>
      </c>
      <c r="E59" s="72">
        <v>15</v>
      </c>
      <c r="F59" s="72">
        <v>15</v>
      </c>
      <c r="G59" s="72">
        <v>15</v>
      </c>
      <c r="H59" s="72">
        <v>15</v>
      </c>
      <c r="I59" s="72">
        <v>15</v>
      </c>
      <c r="J59" s="72">
        <v>15</v>
      </c>
      <c r="K59" s="72">
        <v>15</v>
      </c>
      <c r="L59" s="72">
        <v>15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15</v>
      </c>
      <c r="S59" s="72">
        <v>15</v>
      </c>
      <c r="T59" s="72">
        <v>15</v>
      </c>
      <c r="U59" s="72">
        <v>15</v>
      </c>
      <c r="V59" s="72">
        <v>15</v>
      </c>
      <c r="W59" s="72">
        <v>15</v>
      </c>
      <c r="X59" s="72">
        <v>15</v>
      </c>
      <c r="Y59" s="72">
        <v>15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15</v>
      </c>
      <c r="AI59" s="53">
        <f t="shared" si="3"/>
        <v>15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12.1</v>
      </c>
      <c r="C61" s="72">
        <v>12.1</v>
      </c>
      <c r="D61" s="72">
        <v>12.1</v>
      </c>
      <c r="E61" s="72">
        <v>12.1</v>
      </c>
      <c r="F61" s="72">
        <v>12.1</v>
      </c>
      <c r="G61" s="72">
        <v>12.1</v>
      </c>
      <c r="H61" s="72">
        <v>12.1</v>
      </c>
      <c r="I61" s="72">
        <v>12.1</v>
      </c>
      <c r="J61" s="72">
        <v>12.1</v>
      </c>
      <c r="K61" s="72">
        <v>12.1</v>
      </c>
      <c r="L61" s="72">
        <v>12.1</v>
      </c>
      <c r="M61" s="72">
        <v>12.1</v>
      </c>
      <c r="N61" s="72">
        <v>12.1</v>
      </c>
      <c r="O61" s="72">
        <v>12.2</v>
      </c>
      <c r="P61" s="72">
        <v>12.2</v>
      </c>
      <c r="Q61" s="72">
        <v>12.2</v>
      </c>
      <c r="R61" s="72">
        <v>12.2</v>
      </c>
      <c r="S61" s="72">
        <v>12.2</v>
      </c>
      <c r="T61" s="72">
        <v>12.2</v>
      </c>
      <c r="U61" s="72">
        <v>12.2</v>
      </c>
      <c r="V61" s="72">
        <v>12.2</v>
      </c>
      <c r="W61" s="72">
        <v>12.2</v>
      </c>
      <c r="X61" s="72">
        <v>12.2</v>
      </c>
      <c r="Y61" s="72">
        <v>12.2</v>
      </c>
      <c r="Z61" s="72">
        <v>12.2</v>
      </c>
      <c r="AA61" s="72">
        <v>12.2</v>
      </c>
      <c r="AB61" s="72">
        <v>12.2</v>
      </c>
      <c r="AC61" s="72">
        <v>12.2</v>
      </c>
      <c r="AD61" s="72">
        <v>12.2</v>
      </c>
      <c r="AE61" s="72">
        <v>12.2</v>
      </c>
      <c r="AF61" s="72">
        <v>12.2</v>
      </c>
      <c r="AG61" s="61">
        <v>14.1</v>
      </c>
      <c r="AH61" s="52">
        <f t="shared" si="2"/>
        <v>12.2</v>
      </c>
      <c r="AI61" s="53">
        <f t="shared" si="3"/>
        <v>12.1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5</v>
      </c>
      <c r="C62" s="72">
        <v>5</v>
      </c>
      <c r="D62" s="72">
        <v>5</v>
      </c>
      <c r="E62" s="72">
        <v>5</v>
      </c>
      <c r="F62" s="72">
        <v>5</v>
      </c>
      <c r="G62" s="72">
        <v>5</v>
      </c>
      <c r="H62" s="72">
        <v>5</v>
      </c>
      <c r="I62" s="72">
        <v>5</v>
      </c>
      <c r="J62" s="72">
        <v>5</v>
      </c>
      <c r="K62" s="72">
        <v>5</v>
      </c>
      <c r="L62" s="72">
        <v>5</v>
      </c>
      <c r="M62" s="72">
        <v>5</v>
      </c>
      <c r="N62" s="72">
        <v>5</v>
      </c>
      <c r="O62" s="72">
        <v>5</v>
      </c>
      <c r="P62" s="72">
        <v>5</v>
      </c>
      <c r="Q62" s="72">
        <v>5</v>
      </c>
      <c r="R62" s="72">
        <v>5</v>
      </c>
      <c r="S62" s="72">
        <v>5</v>
      </c>
      <c r="T62" s="72">
        <v>5</v>
      </c>
      <c r="U62" s="72">
        <v>5</v>
      </c>
      <c r="V62" s="72">
        <v>5</v>
      </c>
      <c r="W62" s="72">
        <v>5</v>
      </c>
      <c r="X62" s="72">
        <v>5</v>
      </c>
      <c r="Y62" s="72">
        <v>5</v>
      </c>
      <c r="Z62" s="72">
        <v>5</v>
      </c>
      <c r="AA62" s="72">
        <v>5</v>
      </c>
      <c r="AB62" s="72">
        <v>5</v>
      </c>
      <c r="AC62" s="72">
        <v>5</v>
      </c>
      <c r="AD62" s="72">
        <v>5</v>
      </c>
      <c r="AE62" s="72">
        <v>5</v>
      </c>
      <c r="AF62" s="72">
        <v>5</v>
      </c>
      <c r="AG62" s="61">
        <v>14</v>
      </c>
      <c r="AH62" s="52">
        <f t="shared" si="2"/>
        <v>5</v>
      </c>
      <c r="AI62" s="53">
        <f t="shared" si="3"/>
        <v>5</v>
      </c>
      <c r="AK62" s="54"/>
    </row>
    <row r="63" spans="1:41" x14ac:dyDescent="0.25">
      <c r="A63" s="60" t="s">
        <v>71</v>
      </c>
      <c r="B63" s="72">
        <v>3.3</v>
      </c>
      <c r="C63" s="72">
        <v>3.3</v>
      </c>
      <c r="D63" s="72">
        <v>3.3</v>
      </c>
      <c r="E63" s="72">
        <v>3.3</v>
      </c>
      <c r="F63" s="72">
        <v>3.3</v>
      </c>
      <c r="G63" s="72">
        <v>3.3</v>
      </c>
      <c r="H63" s="72">
        <v>3.3</v>
      </c>
      <c r="I63" s="72">
        <v>3.3</v>
      </c>
      <c r="J63" s="72">
        <v>3.3</v>
      </c>
      <c r="K63" s="72">
        <v>3.3</v>
      </c>
      <c r="L63" s="72">
        <v>3.3</v>
      </c>
      <c r="M63" s="72">
        <v>3.3</v>
      </c>
      <c r="N63" s="72">
        <v>3.3</v>
      </c>
      <c r="O63" s="72">
        <v>3.3</v>
      </c>
      <c r="P63" s="72">
        <v>3.3</v>
      </c>
      <c r="Q63" s="72">
        <v>3.3</v>
      </c>
      <c r="R63" s="72">
        <v>3.3</v>
      </c>
      <c r="S63" s="72">
        <v>3.3</v>
      </c>
      <c r="T63" s="72">
        <v>3.3</v>
      </c>
      <c r="U63" s="72">
        <v>3.3</v>
      </c>
      <c r="V63" s="72">
        <v>3.3</v>
      </c>
      <c r="W63" s="72">
        <v>3.3</v>
      </c>
      <c r="X63" s="72">
        <v>3.3</v>
      </c>
      <c r="Y63" s="72">
        <v>3.3</v>
      </c>
      <c r="Z63" s="72">
        <v>3.3</v>
      </c>
      <c r="AA63" s="72">
        <v>3.3</v>
      </c>
      <c r="AB63" s="72">
        <v>3.3</v>
      </c>
      <c r="AC63" s="72">
        <v>3.3</v>
      </c>
      <c r="AD63" s="72">
        <v>3.3</v>
      </c>
      <c r="AE63" s="72">
        <v>3.3</v>
      </c>
      <c r="AF63" s="72">
        <v>3.3</v>
      </c>
      <c r="AG63" s="61">
        <v>10.050000000000001</v>
      </c>
      <c r="AH63" s="52">
        <f t="shared" si="2"/>
        <v>3.3</v>
      </c>
      <c r="AI63" s="53">
        <f t="shared" si="3"/>
        <v>3.3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:AG66" si="13">SUM(B53:B65)</f>
        <v>292.94000000000005</v>
      </c>
      <c r="C66" s="67">
        <f t="shared" si="13"/>
        <v>229.94</v>
      </c>
      <c r="D66" s="67">
        <f t="shared" si="13"/>
        <v>213.94</v>
      </c>
      <c r="E66" s="67">
        <f t="shared" si="13"/>
        <v>199.94</v>
      </c>
      <c r="F66" s="67">
        <f t="shared" si="13"/>
        <v>197.24</v>
      </c>
      <c r="G66" s="67">
        <f t="shared" si="13"/>
        <v>211.14000000000001</v>
      </c>
      <c r="H66" s="67">
        <f t="shared" si="13"/>
        <v>205.54000000000002</v>
      </c>
      <c r="I66" s="67">
        <f t="shared" si="13"/>
        <v>166.44</v>
      </c>
      <c r="J66" s="67">
        <f t="shared" si="13"/>
        <v>171.04000000000002</v>
      </c>
      <c r="K66" s="67">
        <f t="shared" si="13"/>
        <v>132.54</v>
      </c>
      <c r="L66" s="67">
        <f t="shared" si="13"/>
        <v>129.23999999999998</v>
      </c>
      <c r="M66" s="67">
        <f t="shared" si="13"/>
        <v>130.04</v>
      </c>
      <c r="N66" s="67">
        <f t="shared" si="13"/>
        <v>130.23999999999998</v>
      </c>
      <c r="O66" s="67">
        <f t="shared" si="13"/>
        <v>143.54</v>
      </c>
      <c r="P66" s="67">
        <f t="shared" si="13"/>
        <v>198.14</v>
      </c>
      <c r="Q66" s="67">
        <f t="shared" si="13"/>
        <v>240.14</v>
      </c>
      <c r="R66" s="67">
        <f t="shared" si="13"/>
        <v>240.14</v>
      </c>
      <c r="S66" s="67">
        <f t="shared" si="13"/>
        <v>295.04000000000002</v>
      </c>
      <c r="T66" s="67">
        <f t="shared" si="13"/>
        <v>287.84000000000003</v>
      </c>
      <c r="U66" s="67">
        <f t="shared" ref="U66:V66" si="14">SUM(U53:U65)</f>
        <v>287.84000000000003</v>
      </c>
      <c r="V66" s="67">
        <f t="shared" si="14"/>
        <v>287.84000000000003</v>
      </c>
      <c r="W66" s="67">
        <f t="shared" si="13"/>
        <v>240.43999999999997</v>
      </c>
      <c r="X66" s="67">
        <f t="shared" si="13"/>
        <v>231.23999999999998</v>
      </c>
      <c r="Y66" s="67">
        <f t="shared" ref="Y66:AA66" si="15">SUM(Y53:Y65)</f>
        <v>218.23999999999998</v>
      </c>
      <c r="Z66" s="67">
        <f t="shared" si="15"/>
        <v>257.94</v>
      </c>
      <c r="AA66" s="67">
        <f t="shared" si="15"/>
        <v>252.64000000000001</v>
      </c>
      <c r="AB66" s="67">
        <f t="shared" si="13"/>
        <v>262.84000000000003</v>
      </c>
      <c r="AC66" s="67">
        <f t="shared" si="13"/>
        <v>248.84</v>
      </c>
      <c r="AD66" s="67">
        <f t="shared" si="13"/>
        <v>249.34</v>
      </c>
      <c r="AE66" s="67">
        <f t="shared" si="13"/>
        <v>250.14000000000001</v>
      </c>
      <c r="AF66" s="67">
        <f t="shared" si="13"/>
        <v>220.34</v>
      </c>
      <c r="AG66" s="68">
        <f t="shared" si="13"/>
        <v>489.91</v>
      </c>
      <c r="AH66" s="52">
        <f t="shared" si="2"/>
        <v>295.04000000000002</v>
      </c>
      <c r="AI66" s="53">
        <f t="shared" si="3"/>
        <v>129.23999999999998</v>
      </c>
      <c r="AK66" s="54"/>
    </row>
    <row r="67" spans="1:40" x14ac:dyDescent="0.25">
      <c r="A67" s="49" t="s">
        <v>75</v>
      </c>
      <c r="B67" s="50">
        <v>60</v>
      </c>
      <c r="C67" s="50">
        <v>60</v>
      </c>
      <c r="D67" s="50">
        <v>60</v>
      </c>
      <c r="E67" s="50">
        <v>50</v>
      </c>
      <c r="F67" s="50">
        <v>50</v>
      </c>
      <c r="G67" s="50">
        <v>60</v>
      </c>
      <c r="H67" s="50">
        <v>40</v>
      </c>
      <c r="I67" s="50">
        <v>40</v>
      </c>
      <c r="J67" s="50">
        <v>45</v>
      </c>
      <c r="K67" s="50">
        <v>34</v>
      </c>
      <c r="L67" s="50">
        <v>50</v>
      </c>
      <c r="M67" s="50">
        <v>50</v>
      </c>
      <c r="N67" s="50">
        <v>60</v>
      </c>
      <c r="O67" s="50">
        <v>30</v>
      </c>
      <c r="P67" s="50">
        <v>60</v>
      </c>
      <c r="Q67" s="50">
        <v>60</v>
      </c>
      <c r="R67" s="50">
        <v>60</v>
      </c>
      <c r="S67" s="50">
        <v>60</v>
      </c>
      <c r="T67" s="50">
        <v>60</v>
      </c>
      <c r="U67" s="50">
        <v>60</v>
      </c>
      <c r="V67" s="50">
        <v>60</v>
      </c>
      <c r="W67" s="50">
        <v>60</v>
      </c>
      <c r="X67" s="50">
        <v>60</v>
      </c>
      <c r="Y67" s="50">
        <v>60</v>
      </c>
      <c r="Z67" s="50">
        <v>60</v>
      </c>
      <c r="AA67" s="50">
        <v>60</v>
      </c>
      <c r="AB67" s="50">
        <v>60</v>
      </c>
      <c r="AC67" s="50">
        <v>50</v>
      </c>
      <c r="AD67" s="50">
        <v>40</v>
      </c>
      <c r="AE67" s="50">
        <v>40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30</v>
      </c>
      <c r="AK67" s="54"/>
    </row>
    <row r="68" spans="1:40" x14ac:dyDescent="0.25">
      <c r="A68" s="60" t="s">
        <v>76</v>
      </c>
      <c r="B68" s="72">
        <v>29</v>
      </c>
      <c r="C68" s="72">
        <v>29</v>
      </c>
      <c r="D68" s="72">
        <v>29</v>
      </c>
      <c r="E68" s="72">
        <v>24.3</v>
      </c>
      <c r="F68" s="72">
        <v>28.8</v>
      </c>
      <c r="G68" s="72">
        <v>29.1</v>
      </c>
      <c r="H68" s="72">
        <v>21.5</v>
      </c>
      <c r="I68" s="72">
        <v>17.899999999999999</v>
      </c>
      <c r="J68" s="72">
        <v>27.3</v>
      </c>
      <c r="K68" s="72">
        <v>14.7</v>
      </c>
      <c r="L68" s="72">
        <v>15.8</v>
      </c>
      <c r="M68" s="72">
        <v>15.8</v>
      </c>
      <c r="N68" s="72">
        <v>28</v>
      </c>
      <c r="O68" s="72">
        <v>11</v>
      </c>
      <c r="P68" s="72">
        <v>16</v>
      </c>
      <c r="Q68" s="50">
        <v>21.3</v>
      </c>
      <c r="R68" s="50">
        <v>21.3</v>
      </c>
      <c r="S68" s="72">
        <v>28.6</v>
      </c>
      <c r="T68" s="72">
        <v>28.6</v>
      </c>
      <c r="U68" s="72">
        <v>28.6</v>
      </c>
      <c r="V68" s="72">
        <v>28.6</v>
      </c>
      <c r="W68" s="72">
        <v>28.6</v>
      </c>
      <c r="X68" s="72">
        <v>28.6</v>
      </c>
      <c r="Y68" s="72">
        <v>28.6</v>
      </c>
      <c r="Z68" s="72">
        <v>28.6</v>
      </c>
      <c r="AA68" s="72">
        <v>28.6</v>
      </c>
      <c r="AB68" s="72">
        <v>28.6</v>
      </c>
      <c r="AC68" s="72">
        <v>24.5</v>
      </c>
      <c r="AD68" s="72">
        <v>16.399999999999999</v>
      </c>
      <c r="AE68" s="72">
        <v>16.399999999999999</v>
      </c>
      <c r="AF68" s="50">
        <v>27.6</v>
      </c>
      <c r="AG68" s="61">
        <v>32</v>
      </c>
      <c r="AH68" s="52">
        <f t="shared" si="2"/>
        <v>29.1</v>
      </c>
      <c r="AI68" s="53">
        <f t="shared" si="3"/>
        <v>11</v>
      </c>
      <c r="AK68" s="54"/>
    </row>
    <row r="69" spans="1:40" ht="15.75" thickBot="1" x14ac:dyDescent="0.3">
      <c r="A69" s="78" t="s">
        <v>77</v>
      </c>
      <c r="B69" s="74">
        <v>10.6</v>
      </c>
      <c r="C69" s="74">
        <v>10.6</v>
      </c>
      <c r="D69" s="74">
        <v>10.6</v>
      </c>
      <c r="E69" s="74">
        <v>8.9</v>
      </c>
      <c r="F69" s="74">
        <v>10.5</v>
      </c>
      <c r="G69" s="74">
        <v>10.6</v>
      </c>
      <c r="H69" s="74">
        <v>7.6</v>
      </c>
      <c r="I69" s="74">
        <v>6.5</v>
      </c>
      <c r="J69" s="74">
        <v>9.9</v>
      </c>
      <c r="K69" s="74">
        <v>5.4</v>
      </c>
      <c r="L69" s="74">
        <v>5.8</v>
      </c>
      <c r="M69" s="74">
        <v>5.8</v>
      </c>
      <c r="N69" s="74">
        <v>10.3</v>
      </c>
      <c r="O69" s="74">
        <v>4</v>
      </c>
      <c r="P69" s="74">
        <v>6</v>
      </c>
      <c r="Q69" s="50">
        <v>7.8</v>
      </c>
      <c r="R69" s="50">
        <v>7.8</v>
      </c>
      <c r="S69" s="74">
        <v>10.4</v>
      </c>
      <c r="T69" s="74">
        <v>10.4</v>
      </c>
      <c r="U69" s="74">
        <v>10.4</v>
      </c>
      <c r="V69" s="74">
        <v>10.4</v>
      </c>
      <c r="W69" s="74">
        <v>10.4</v>
      </c>
      <c r="X69" s="74">
        <v>10.4</v>
      </c>
      <c r="Y69" s="74">
        <v>10.4</v>
      </c>
      <c r="Z69" s="74">
        <v>10.4</v>
      </c>
      <c r="AA69" s="74">
        <v>10.4</v>
      </c>
      <c r="AB69" s="74">
        <v>10.4</v>
      </c>
      <c r="AC69" s="74">
        <v>8.9</v>
      </c>
      <c r="AD69" s="74">
        <v>6</v>
      </c>
      <c r="AE69" s="74">
        <v>6</v>
      </c>
      <c r="AF69" s="50">
        <v>10.1</v>
      </c>
      <c r="AG69" s="75">
        <v>14</v>
      </c>
      <c r="AH69" s="52">
        <f t="shared" si="2"/>
        <v>10.6</v>
      </c>
      <c r="AI69" s="53">
        <f t="shared" si="3"/>
        <v>4</v>
      </c>
      <c r="AK69" s="54"/>
    </row>
    <row r="70" spans="1:40" ht="15.75" thickBot="1" x14ac:dyDescent="0.3">
      <c r="A70" s="81" t="s">
        <v>78</v>
      </c>
      <c r="B70" s="67">
        <f>B67+B68+B69</f>
        <v>99.6</v>
      </c>
      <c r="C70" s="67">
        <f t="shared" ref="C70:L70" si="16">C67+C68+C69</f>
        <v>99.6</v>
      </c>
      <c r="D70" s="67">
        <f t="shared" si="16"/>
        <v>99.6</v>
      </c>
      <c r="E70" s="67">
        <f t="shared" si="16"/>
        <v>83.2</v>
      </c>
      <c r="F70" s="67">
        <f t="shared" si="16"/>
        <v>89.3</v>
      </c>
      <c r="G70" s="67">
        <f t="shared" si="16"/>
        <v>99.699999999999989</v>
      </c>
      <c r="H70" s="67">
        <f t="shared" si="16"/>
        <v>69.099999999999994</v>
      </c>
      <c r="I70" s="67">
        <f t="shared" si="16"/>
        <v>64.400000000000006</v>
      </c>
      <c r="J70" s="67">
        <f t="shared" si="16"/>
        <v>82.2</v>
      </c>
      <c r="K70" s="67">
        <f t="shared" si="16"/>
        <v>54.1</v>
      </c>
      <c r="L70" s="67">
        <f t="shared" si="16"/>
        <v>71.599999999999994</v>
      </c>
      <c r="M70" s="67">
        <f t="shared" ref="M70:AF70" si="17">M67+M68+M69</f>
        <v>71.599999999999994</v>
      </c>
      <c r="N70" s="67">
        <f t="shared" si="17"/>
        <v>98.3</v>
      </c>
      <c r="O70" s="67">
        <f t="shared" si="17"/>
        <v>45</v>
      </c>
      <c r="P70" s="67">
        <f t="shared" si="17"/>
        <v>82</v>
      </c>
      <c r="Q70" s="67">
        <f t="shared" si="17"/>
        <v>89.1</v>
      </c>
      <c r="R70" s="67">
        <f t="shared" si="17"/>
        <v>89.1</v>
      </c>
      <c r="S70" s="67">
        <f t="shared" si="17"/>
        <v>99</v>
      </c>
      <c r="T70" s="67">
        <f t="shared" si="17"/>
        <v>99</v>
      </c>
      <c r="U70" s="67">
        <f t="shared" ref="U70:V70" si="18">U67+U68+U69</f>
        <v>99</v>
      </c>
      <c r="V70" s="67">
        <f t="shared" si="18"/>
        <v>99</v>
      </c>
      <c r="W70" s="67">
        <f t="shared" si="17"/>
        <v>99</v>
      </c>
      <c r="X70" s="67">
        <f t="shared" si="17"/>
        <v>99</v>
      </c>
      <c r="Y70" s="67">
        <f t="shared" ref="Y70" si="19">Y67+Y68+Y69</f>
        <v>99</v>
      </c>
      <c r="Z70" s="67">
        <v>99</v>
      </c>
      <c r="AA70" s="67">
        <v>99</v>
      </c>
      <c r="AB70" s="67">
        <f t="shared" si="17"/>
        <v>99</v>
      </c>
      <c r="AC70" s="67">
        <f t="shared" si="17"/>
        <v>83.4</v>
      </c>
      <c r="AD70" s="67">
        <f t="shared" si="17"/>
        <v>62.4</v>
      </c>
      <c r="AE70" s="67">
        <f t="shared" si="17"/>
        <v>62.4</v>
      </c>
      <c r="AF70" s="67">
        <f t="shared" si="17"/>
        <v>97.699999999999989</v>
      </c>
      <c r="AG70" s="68">
        <f>SUM(AG67:AG69)</f>
        <v>106</v>
      </c>
      <c r="AH70" s="52">
        <f t="shared" si="2"/>
        <v>99.699999999999989</v>
      </c>
      <c r="AI70" s="53">
        <f t="shared" si="3"/>
        <v>45</v>
      </c>
      <c r="AK70" s="54"/>
    </row>
    <row r="71" spans="1:40" x14ac:dyDescent="0.25">
      <c r="A71" s="49" t="s">
        <v>79</v>
      </c>
      <c r="B71" s="50">
        <v>64</v>
      </c>
      <c r="C71" s="50">
        <v>64</v>
      </c>
      <c r="D71" s="50">
        <v>60</v>
      </c>
      <c r="E71" s="50">
        <v>60</v>
      </c>
      <c r="F71" s="50">
        <v>64</v>
      </c>
      <c r="G71" s="50">
        <v>60</v>
      </c>
      <c r="H71" s="50">
        <v>65</v>
      </c>
      <c r="I71" s="50">
        <v>63</v>
      </c>
      <c r="J71" s="50">
        <v>54</v>
      </c>
      <c r="K71" s="50">
        <v>54</v>
      </c>
      <c r="L71" s="50">
        <v>49</v>
      </c>
      <c r="M71" s="50">
        <v>55</v>
      </c>
      <c r="N71" s="50">
        <v>55</v>
      </c>
      <c r="O71" s="50">
        <v>65</v>
      </c>
      <c r="P71" s="50">
        <v>65</v>
      </c>
      <c r="Q71" s="50">
        <v>65</v>
      </c>
      <c r="R71" s="50">
        <v>65</v>
      </c>
      <c r="S71" s="50">
        <v>65</v>
      </c>
      <c r="T71" s="50">
        <v>65</v>
      </c>
      <c r="U71" s="50">
        <v>65</v>
      </c>
      <c r="V71" s="50">
        <v>65</v>
      </c>
      <c r="W71" s="50">
        <v>65</v>
      </c>
      <c r="X71" s="50">
        <v>65</v>
      </c>
      <c r="Y71" s="50">
        <v>65</v>
      </c>
      <c r="Z71" s="50">
        <v>65</v>
      </c>
      <c r="AA71" s="50">
        <v>65</v>
      </c>
      <c r="AB71" s="50">
        <v>52</v>
      </c>
      <c r="AC71" s="50">
        <v>67</v>
      </c>
      <c r="AD71" s="50">
        <v>69</v>
      </c>
      <c r="AE71" s="50">
        <v>69</v>
      </c>
      <c r="AF71" s="50">
        <v>70</v>
      </c>
      <c r="AG71" s="56"/>
      <c r="AH71" s="52">
        <f t="shared" si="2"/>
        <v>70</v>
      </c>
      <c r="AI71" s="53">
        <f t="shared" si="3"/>
        <v>49</v>
      </c>
      <c r="AK71" s="54"/>
    </row>
    <row r="72" spans="1:40" x14ac:dyDescent="0.25">
      <c r="A72" s="60" t="s">
        <v>80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248</v>
      </c>
      <c r="C73" s="72">
        <v>278</v>
      </c>
      <c r="D73" s="72">
        <v>356</v>
      </c>
      <c r="E73" s="72">
        <v>392</v>
      </c>
      <c r="F73" s="72">
        <v>385</v>
      </c>
      <c r="G73" s="72">
        <v>371</v>
      </c>
      <c r="H73" s="72">
        <v>415.5</v>
      </c>
      <c r="I73" s="72">
        <v>378</v>
      </c>
      <c r="J73" s="72">
        <v>405</v>
      </c>
      <c r="K73" s="72">
        <v>402</v>
      </c>
      <c r="L73" s="72">
        <v>455</v>
      </c>
      <c r="M73" s="72">
        <v>465</v>
      </c>
      <c r="N73" s="72">
        <v>439</v>
      </c>
      <c r="O73" s="72">
        <v>443</v>
      </c>
      <c r="P73" s="72">
        <v>455</v>
      </c>
      <c r="Q73" s="72">
        <v>423</v>
      </c>
      <c r="R73" s="72">
        <v>438</v>
      </c>
      <c r="S73" s="72">
        <v>437.8</v>
      </c>
      <c r="T73" s="72">
        <v>425</v>
      </c>
      <c r="U73" s="72">
        <v>401</v>
      </c>
      <c r="V73" s="72">
        <v>400</v>
      </c>
      <c r="W73" s="72">
        <v>450</v>
      </c>
      <c r="X73" s="72">
        <v>380</v>
      </c>
      <c r="Y73" s="72">
        <v>460</v>
      </c>
      <c r="Z73" s="72">
        <v>545</v>
      </c>
      <c r="AA73" s="72">
        <v>287</v>
      </c>
      <c r="AB73" s="72">
        <v>353</v>
      </c>
      <c r="AC73" s="72">
        <v>401.5</v>
      </c>
      <c r="AD73" s="72">
        <v>380</v>
      </c>
      <c r="AE73" s="72">
        <v>280</v>
      </c>
      <c r="AF73" s="72">
        <v>322</v>
      </c>
      <c r="AG73" s="82"/>
      <c r="AH73" s="52">
        <f t="shared" si="2"/>
        <v>545</v>
      </c>
      <c r="AI73" s="53">
        <f t="shared" si="3"/>
        <v>248</v>
      </c>
      <c r="AK73" s="54"/>
    </row>
    <row r="74" spans="1:40" x14ac:dyDescent="0.25">
      <c r="A74" s="60" t="s">
        <v>82</v>
      </c>
      <c r="B74" s="72">
        <v>10</v>
      </c>
      <c r="C74" s="72">
        <v>47</v>
      </c>
      <c r="D74" s="72">
        <v>50</v>
      </c>
      <c r="E74" s="83">
        <v>50</v>
      </c>
      <c r="F74" s="83">
        <v>50.3</v>
      </c>
      <c r="G74" s="83">
        <v>44</v>
      </c>
      <c r="H74" s="83">
        <v>47.2</v>
      </c>
      <c r="I74" s="83">
        <v>39.6</v>
      </c>
      <c r="J74" s="83">
        <v>37.5</v>
      </c>
      <c r="K74" s="83">
        <v>40.1</v>
      </c>
      <c r="L74" s="83">
        <v>46.4</v>
      </c>
      <c r="M74" s="83">
        <v>47.9</v>
      </c>
      <c r="N74" s="83">
        <v>50.8</v>
      </c>
      <c r="O74" s="83">
        <v>50.2</v>
      </c>
      <c r="P74" s="83">
        <v>50.2</v>
      </c>
      <c r="Q74" s="83">
        <v>50.2</v>
      </c>
      <c r="R74" s="83">
        <v>50.2</v>
      </c>
      <c r="S74" s="83">
        <v>50.2</v>
      </c>
      <c r="T74" s="83">
        <v>58</v>
      </c>
      <c r="U74" s="83">
        <v>58</v>
      </c>
      <c r="V74" s="83">
        <v>58</v>
      </c>
      <c r="W74" s="83">
        <v>58</v>
      </c>
      <c r="X74" s="83">
        <v>58</v>
      </c>
      <c r="Y74" s="83">
        <v>58</v>
      </c>
      <c r="Z74" s="72">
        <v>58</v>
      </c>
      <c r="AA74" s="72">
        <v>58</v>
      </c>
      <c r="AB74" s="72">
        <v>59.9</v>
      </c>
      <c r="AC74" s="72">
        <v>59.3</v>
      </c>
      <c r="AD74" s="72">
        <v>59.4</v>
      </c>
      <c r="AE74" s="72">
        <v>46.4</v>
      </c>
      <c r="AF74" s="72">
        <v>46.4</v>
      </c>
      <c r="AG74" s="82"/>
      <c r="AH74" s="52">
        <f t="shared" si="2"/>
        <v>59.9</v>
      </c>
      <c r="AI74" s="53">
        <f t="shared" si="3"/>
        <v>10</v>
      </c>
      <c r="AK74" s="54"/>
    </row>
    <row r="75" spans="1:40" x14ac:dyDescent="0.25">
      <c r="A75" s="60" t="s">
        <v>83</v>
      </c>
      <c r="B75" s="50">
        <v>0</v>
      </c>
      <c r="C75" s="50">
        <v>23</v>
      </c>
      <c r="D75" s="50">
        <v>30</v>
      </c>
      <c r="E75" s="50">
        <v>28.9</v>
      </c>
      <c r="F75" s="50">
        <v>29.3</v>
      </c>
      <c r="G75" s="50">
        <v>30.3</v>
      </c>
      <c r="H75" s="50">
        <v>30</v>
      </c>
      <c r="I75" s="50">
        <v>24.2</v>
      </c>
      <c r="J75" s="50">
        <v>24.3</v>
      </c>
      <c r="K75" s="50">
        <v>22.6</v>
      </c>
      <c r="L75" s="50">
        <v>23.2</v>
      </c>
      <c r="M75" s="50">
        <v>23.9</v>
      </c>
      <c r="N75" s="50">
        <v>23.9</v>
      </c>
      <c r="O75" s="50">
        <v>25.6</v>
      </c>
      <c r="P75" s="50">
        <v>25.6</v>
      </c>
      <c r="Q75" s="50">
        <v>25.6</v>
      </c>
      <c r="R75" s="50">
        <v>25.6</v>
      </c>
      <c r="S75" s="50">
        <v>25.6</v>
      </c>
      <c r="T75" s="50">
        <v>25.6</v>
      </c>
      <c r="U75" s="50">
        <v>25.6</v>
      </c>
      <c r="V75" s="50">
        <v>25.6</v>
      </c>
      <c r="W75" s="50">
        <v>25.6</v>
      </c>
      <c r="X75" s="50">
        <v>25.6</v>
      </c>
      <c r="Y75" s="50">
        <v>25.6</v>
      </c>
      <c r="Z75" s="50">
        <v>25.6</v>
      </c>
      <c r="AA75" s="50">
        <v>25.6</v>
      </c>
      <c r="AB75" s="50">
        <v>0</v>
      </c>
      <c r="AC75" s="50">
        <v>0</v>
      </c>
      <c r="AD75" s="50">
        <v>0</v>
      </c>
      <c r="AE75" s="50">
        <v>0</v>
      </c>
      <c r="AF75" s="50">
        <v>0</v>
      </c>
      <c r="AG75" s="82"/>
      <c r="AH75" s="52">
        <f t="shared" ref="AH75:AH117" si="20">MAX(B75:AF75)</f>
        <v>30.3</v>
      </c>
      <c r="AI75" s="53">
        <f t="shared" ref="AI75:AI117" si="21">MIN(B75:AF75)</f>
        <v>0</v>
      </c>
      <c r="AK75" s="54"/>
    </row>
    <row r="76" spans="1:40" x14ac:dyDescent="0.25">
      <c r="A76" s="60" t="s">
        <v>84</v>
      </c>
      <c r="B76" s="84">
        <v>7</v>
      </c>
      <c r="C76" s="84">
        <v>7</v>
      </c>
      <c r="D76" s="84">
        <v>7</v>
      </c>
      <c r="E76" s="84">
        <v>7</v>
      </c>
      <c r="F76" s="84">
        <v>7</v>
      </c>
      <c r="G76" s="84">
        <v>7</v>
      </c>
      <c r="H76" s="84">
        <v>7</v>
      </c>
      <c r="I76" s="84">
        <v>7</v>
      </c>
      <c r="J76" s="84">
        <v>7</v>
      </c>
      <c r="K76" s="84">
        <v>7</v>
      </c>
      <c r="L76" s="84">
        <v>7</v>
      </c>
      <c r="M76" s="84">
        <v>7</v>
      </c>
      <c r="N76" s="84">
        <v>7</v>
      </c>
      <c r="O76" s="84">
        <v>7</v>
      </c>
      <c r="P76" s="84">
        <v>7</v>
      </c>
      <c r="Q76" s="84">
        <v>7</v>
      </c>
      <c r="R76" s="84">
        <v>7</v>
      </c>
      <c r="S76" s="84">
        <v>7</v>
      </c>
      <c r="T76" s="84">
        <v>7</v>
      </c>
      <c r="U76" s="84">
        <v>7</v>
      </c>
      <c r="V76" s="84">
        <v>7</v>
      </c>
      <c r="W76" s="84">
        <v>7</v>
      </c>
      <c r="X76" s="84">
        <v>7</v>
      </c>
      <c r="Y76" s="84">
        <v>7</v>
      </c>
      <c r="Z76" s="84">
        <v>7</v>
      </c>
      <c r="AA76" s="84">
        <v>7</v>
      </c>
      <c r="AB76" s="84">
        <v>7</v>
      </c>
      <c r="AC76" s="84">
        <v>7</v>
      </c>
      <c r="AD76" s="84">
        <v>7</v>
      </c>
      <c r="AE76" s="84">
        <v>7</v>
      </c>
      <c r="AF76" s="84">
        <v>7</v>
      </c>
      <c r="AG76" s="82"/>
      <c r="AH76" s="52">
        <f t="shared" si="20"/>
        <v>7</v>
      </c>
      <c r="AI76" s="53">
        <f t="shared" si="21"/>
        <v>7</v>
      </c>
      <c r="AK76" s="54"/>
    </row>
    <row r="77" spans="1:40" ht="15.75" thickBot="1" x14ac:dyDescent="0.3">
      <c r="A77" s="60" t="s">
        <v>85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20"/>
        <v>0</v>
      </c>
      <c r="AI77" s="53">
        <f t="shared" si="21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20"/>
        <v>0</v>
      </c>
      <c r="AI78" s="53">
        <f t="shared" si="21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20"/>
        <v>0</v>
      </c>
      <c r="AI79" s="53">
        <f t="shared" si="21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20"/>
        <v>0</v>
      </c>
      <c r="AI80" s="53">
        <f t="shared" si="21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20"/>
        <v>0</v>
      </c>
      <c r="AI81" s="53">
        <f t="shared" si="21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:AF82" si="22">SUMIF(B71:B81,"&gt;0")</f>
        <v>329</v>
      </c>
      <c r="C82" s="67">
        <f t="shared" si="22"/>
        <v>419</v>
      </c>
      <c r="D82" s="67">
        <f t="shared" si="22"/>
        <v>503</v>
      </c>
      <c r="E82" s="67">
        <f t="shared" si="22"/>
        <v>537.9</v>
      </c>
      <c r="F82" s="67">
        <f t="shared" si="22"/>
        <v>535.6</v>
      </c>
      <c r="G82" s="67">
        <f t="shared" si="22"/>
        <v>512.29999999999995</v>
      </c>
      <c r="H82" s="67">
        <f t="shared" si="22"/>
        <v>564.70000000000005</v>
      </c>
      <c r="I82" s="67">
        <f t="shared" si="22"/>
        <v>511.8</v>
      </c>
      <c r="J82" s="67">
        <f t="shared" si="22"/>
        <v>527.79999999999995</v>
      </c>
      <c r="K82" s="67">
        <f t="shared" si="22"/>
        <v>525.70000000000005</v>
      </c>
      <c r="L82" s="67">
        <f t="shared" si="22"/>
        <v>580.6</v>
      </c>
      <c r="M82" s="67">
        <f t="shared" si="22"/>
        <v>598.79999999999995</v>
      </c>
      <c r="N82" s="67">
        <f t="shared" si="22"/>
        <v>575.69999999999993</v>
      </c>
      <c r="O82" s="67">
        <f t="shared" si="22"/>
        <v>590.80000000000007</v>
      </c>
      <c r="P82" s="67">
        <f t="shared" si="22"/>
        <v>602.80000000000007</v>
      </c>
      <c r="Q82" s="67">
        <f t="shared" si="22"/>
        <v>570.80000000000007</v>
      </c>
      <c r="R82" s="67">
        <f t="shared" si="22"/>
        <v>585.80000000000007</v>
      </c>
      <c r="S82" s="67">
        <f t="shared" si="22"/>
        <v>585.6</v>
      </c>
      <c r="T82" s="67">
        <f t="shared" si="22"/>
        <v>580.6</v>
      </c>
      <c r="U82" s="67">
        <f t="shared" si="22"/>
        <v>556.6</v>
      </c>
      <c r="V82" s="67">
        <f t="shared" si="22"/>
        <v>555.6</v>
      </c>
      <c r="W82" s="67">
        <f t="shared" si="22"/>
        <v>605.6</v>
      </c>
      <c r="X82" s="67">
        <f t="shared" si="22"/>
        <v>535.6</v>
      </c>
      <c r="Y82" s="67">
        <f t="shared" si="22"/>
        <v>615.6</v>
      </c>
      <c r="Z82" s="67">
        <f t="shared" si="22"/>
        <v>700.6</v>
      </c>
      <c r="AA82" s="67">
        <f t="shared" si="22"/>
        <v>442.6</v>
      </c>
      <c r="AB82" s="67">
        <f t="shared" si="22"/>
        <v>471.9</v>
      </c>
      <c r="AC82" s="67">
        <f t="shared" si="22"/>
        <v>534.79999999999995</v>
      </c>
      <c r="AD82" s="67">
        <f t="shared" si="22"/>
        <v>515.4</v>
      </c>
      <c r="AE82" s="67">
        <f t="shared" si="22"/>
        <v>402.4</v>
      </c>
      <c r="AF82" s="67">
        <f t="shared" si="22"/>
        <v>445.4</v>
      </c>
      <c r="AG82" s="95">
        <f>SUM(AG71:AG81)</f>
        <v>0</v>
      </c>
      <c r="AH82" s="52">
        <f t="shared" si="20"/>
        <v>700.6</v>
      </c>
      <c r="AI82" s="53">
        <f t="shared" si="21"/>
        <v>329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20"/>
        <v>0</v>
      </c>
      <c r="AI83" s="53">
        <f t="shared" si="21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20"/>
        <v>0</v>
      </c>
      <c r="AI84" s="53">
        <f t="shared" si="21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20"/>
        <v>0</v>
      </c>
      <c r="AI85" s="53">
        <f t="shared" si="21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>
        <v>0</v>
      </c>
      <c r="AA86" s="67">
        <v>0</v>
      </c>
      <c r="AB86" s="67"/>
      <c r="AC86" s="67"/>
      <c r="AD86" s="67"/>
      <c r="AE86" s="67"/>
      <c r="AF86" s="67"/>
      <c r="AG86" s="95">
        <f>SUM(AG83:AG85)</f>
        <v>55.4</v>
      </c>
      <c r="AH86" s="52">
        <f t="shared" si="20"/>
        <v>0</v>
      </c>
      <c r="AI86" s="53">
        <f t="shared" si="21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:AG87" si="23">B48+B52+B70+B66+B82+B86</f>
        <v>1392.54</v>
      </c>
      <c r="C87" s="102">
        <f t="shared" si="23"/>
        <v>1419.54</v>
      </c>
      <c r="D87" s="102">
        <f t="shared" si="23"/>
        <v>1263.54</v>
      </c>
      <c r="E87" s="102">
        <f t="shared" si="23"/>
        <v>1228.7399999999998</v>
      </c>
      <c r="F87" s="102">
        <f t="shared" si="23"/>
        <v>1228.7400000000002</v>
      </c>
      <c r="G87" s="102">
        <f t="shared" si="23"/>
        <v>1229.8399999999999</v>
      </c>
      <c r="H87" s="102">
        <f t="shared" si="23"/>
        <v>1246.04</v>
      </c>
      <c r="I87" s="102">
        <f t="shared" si="23"/>
        <v>1149.3399999999999</v>
      </c>
      <c r="J87" s="102">
        <f t="shared" si="23"/>
        <v>1187.74</v>
      </c>
      <c r="K87" s="102">
        <f t="shared" si="23"/>
        <v>1119.1400000000001</v>
      </c>
      <c r="L87" s="102">
        <f t="shared" si="23"/>
        <v>1188.1399999999999</v>
      </c>
      <c r="M87" s="102">
        <f t="shared" si="23"/>
        <v>1207.1399999999999</v>
      </c>
      <c r="N87" s="102">
        <f t="shared" si="23"/>
        <v>1210.94</v>
      </c>
      <c r="O87" s="102">
        <f t="shared" si="23"/>
        <v>1186.04</v>
      </c>
      <c r="P87" s="102">
        <f t="shared" si="23"/>
        <v>1304.6399999999999</v>
      </c>
      <c r="Q87" s="102">
        <f t="shared" si="23"/>
        <v>1321.74</v>
      </c>
      <c r="R87" s="102">
        <f t="shared" si="23"/>
        <v>1336.74</v>
      </c>
      <c r="S87" s="102">
        <f t="shared" si="23"/>
        <v>1431.3400000000001</v>
      </c>
      <c r="T87" s="102">
        <f t="shared" si="23"/>
        <v>1389.14</v>
      </c>
      <c r="U87" s="102">
        <f t="shared" si="23"/>
        <v>1350.1399999999999</v>
      </c>
      <c r="V87" s="102">
        <f t="shared" si="23"/>
        <v>1349.1399999999999</v>
      </c>
      <c r="W87" s="102">
        <f t="shared" si="23"/>
        <v>1351.74</v>
      </c>
      <c r="X87" s="102">
        <f t="shared" si="23"/>
        <v>1292.54</v>
      </c>
      <c r="Y87" s="102">
        <f t="shared" si="23"/>
        <v>1359.54</v>
      </c>
      <c r="Z87" s="102">
        <f t="shared" si="23"/>
        <v>1488.1399999999999</v>
      </c>
      <c r="AA87" s="102">
        <f t="shared" si="23"/>
        <v>1424.84</v>
      </c>
      <c r="AB87" s="102">
        <f t="shared" si="23"/>
        <v>1377.94</v>
      </c>
      <c r="AC87" s="102">
        <f t="shared" si="23"/>
        <v>1394.6399999999999</v>
      </c>
      <c r="AD87" s="102">
        <f t="shared" si="23"/>
        <v>1387.7399999999998</v>
      </c>
      <c r="AE87" s="102">
        <f t="shared" si="23"/>
        <v>1313.54</v>
      </c>
      <c r="AF87" s="102">
        <f t="shared" si="23"/>
        <v>1364.04</v>
      </c>
      <c r="AG87" s="68">
        <f t="shared" si="23"/>
        <v>2065.09</v>
      </c>
      <c r="AH87" s="52">
        <f>MAX(B87:AF87)</f>
        <v>1488.1399999999999</v>
      </c>
      <c r="AI87" s="53">
        <f>MIN(B87:AF87)</f>
        <v>1119.1400000000001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>
        <v>80</v>
      </c>
      <c r="J88" s="104">
        <v>160</v>
      </c>
      <c r="K88" s="104">
        <v>160</v>
      </c>
      <c r="L88" s="104">
        <v>160</v>
      </c>
      <c r="M88" s="104">
        <v>160</v>
      </c>
      <c r="N88" s="104">
        <v>160</v>
      </c>
      <c r="O88" s="104">
        <v>100</v>
      </c>
      <c r="P88" s="104"/>
      <c r="Q88" s="104"/>
      <c r="R88" s="104"/>
      <c r="S88" s="104"/>
      <c r="T88" s="104"/>
      <c r="U88" s="104"/>
      <c r="V88" s="104"/>
      <c r="W88" s="104">
        <v>200</v>
      </c>
      <c r="X88" s="104">
        <v>200</v>
      </c>
      <c r="Y88" s="104">
        <v>200</v>
      </c>
      <c r="Z88" s="104">
        <v>210</v>
      </c>
      <c r="AA88" s="104">
        <v>210</v>
      </c>
      <c r="AB88" s="104">
        <v>210</v>
      </c>
      <c r="AC88" s="104">
        <v>210</v>
      </c>
      <c r="AD88" s="104">
        <v>200</v>
      </c>
      <c r="AE88" s="104">
        <v>150</v>
      </c>
      <c r="AF88" s="104">
        <v>105</v>
      </c>
      <c r="AG88" s="95"/>
      <c r="AH88" s="52">
        <f t="shared" si="20"/>
        <v>210</v>
      </c>
      <c r="AI88" s="53">
        <f t="shared" si="21"/>
        <v>80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:AF89" si="24">B87+B88</f>
        <v>1392.54</v>
      </c>
      <c r="C89" s="102">
        <f t="shared" si="24"/>
        <v>1419.54</v>
      </c>
      <c r="D89" s="102">
        <f t="shared" si="24"/>
        <v>1263.54</v>
      </c>
      <c r="E89" s="102">
        <f t="shared" si="24"/>
        <v>1228.7399999999998</v>
      </c>
      <c r="F89" s="102">
        <f t="shared" si="24"/>
        <v>1228.7400000000002</v>
      </c>
      <c r="G89" s="102">
        <f t="shared" si="24"/>
        <v>1229.8399999999999</v>
      </c>
      <c r="H89" s="102">
        <f t="shared" si="24"/>
        <v>1246.04</v>
      </c>
      <c r="I89" s="102">
        <f t="shared" si="24"/>
        <v>1229.3399999999999</v>
      </c>
      <c r="J89" s="102">
        <f t="shared" si="24"/>
        <v>1347.74</v>
      </c>
      <c r="K89" s="102">
        <f t="shared" si="24"/>
        <v>1279.1400000000001</v>
      </c>
      <c r="L89" s="102">
        <f t="shared" si="24"/>
        <v>1348.1399999999999</v>
      </c>
      <c r="M89" s="102">
        <f t="shared" si="24"/>
        <v>1367.1399999999999</v>
      </c>
      <c r="N89" s="102">
        <f t="shared" si="24"/>
        <v>1370.94</v>
      </c>
      <c r="O89" s="102">
        <f t="shared" si="24"/>
        <v>1286.04</v>
      </c>
      <c r="P89" s="102">
        <f t="shared" si="24"/>
        <v>1304.6399999999999</v>
      </c>
      <c r="Q89" s="102">
        <f t="shared" si="24"/>
        <v>1321.74</v>
      </c>
      <c r="R89" s="102">
        <f t="shared" si="24"/>
        <v>1336.74</v>
      </c>
      <c r="S89" s="102">
        <f t="shared" si="24"/>
        <v>1431.3400000000001</v>
      </c>
      <c r="T89" s="102">
        <f t="shared" si="24"/>
        <v>1389.14</v>
      </c>
      <c r="U89" s="102">
        <f t="shared" si="24"/>
        <v>1350.1399999999999</v>
      </c>
      <c r="V89" s="102">
        <f t="shared" si="24"/>
        <v>1349.1399999999999</v>
      </c>
      <c r="W89" s="102">
        <f t="shared" si="24"/>
        <v>1551.74</v>
      </c>
      <c r="X89" s="102">
        <f t="shared" si="24"/>
        <v>1492.54</v>
      </c>
      <c r="Y89" s="102">
        <f t="shared" si="24"/>
        <v>1559.54</v>
      </c>
      <c r="Z89" s="102">
        <f t="shared" si="24"/>
        <v>1698.1399999999999</v>
      </c>
      <c r="AA89" s="102">
        <f t="shared" si="24"/>
        <v>1634.84</v>
      </c>
      <c r="AB89" s="102">
        <f t="shared" si="24"/>
        <v>1587.94</v>
      </c>
      <c r="AC89" s="102">
        <f t="shared" si="24"/>
        <v>1604.6399999999999</v>
      </c>
      <c r="AD89" s="102">
        <f t="shared" si="24"/>
        <v>1587.7399999999998</v>
      </c>
      <c r="AE89" s="102">
        <f t="shared" si="24"/>
        <v>1463.54</v>
      </c>
      <c r="AF89" s="102">
        <f t="shared" si="24"/>
        <v>1469.04</v>
      </c>
      <c r="AG89" s="95">
        <f>AG86+AG82+AG70+AG66+AG48+AG88</f>
        <v>1526.99</v>
      </c>
      <c r="AH89" s="52">
        <f t="shared" si="20"/>
        <v>1698.1399999999999</v>
      </c>
      <c r="AI89" s="53">
        <f t="shared" si="21"/>
        <v>1228.7399999999998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:AF90" si="25">B89-B97</f>
        <v>1392.54</v>
      </c>
      <c r="C90" s="102">
        <f t="shared" si="25"/>
        <v>1419.54</v>
      </c>
      <c r="D90" s="102">
        <f t="shared" si="25"/>
        <v>1263.54</v>
      </c>
      <c r="E90" s="102">
        <f t="shared" si="25"/>
        <v>1228.7399999999998</v>
      </c>
      <c r="F90" s="102">
        <f t="shared" si="25"/>
        <v>1228.7400000000002</v>
      </c>
      <c r="G90" s="102">
        <f t="shared" si="25"/>
        <v>1229.8399999999999</v>
      </c>
      <c r="H90" s="102">
        <f t="shared" si="25"/>
        <v>1246.04</v>
      </c>
      <c r="I90" s="102">
        <f t="shared" si="25"/>
        <v>1229.3399999999999</v>
      </c>
      <c r="J90" s="102">
        <f t="shared" si="25"/>
        <v>1347.74</v>
      </c>
      <c r="K90" s="102">
        <f t="shared" si="25"/>
        <v>1279.1400000000001</v>
      </c>
      <c r="L90" s="102">
        <f t="shared" si="25"/>
        <v>1348.1399999999999</v>
      </c>
      <c r="M90" s="102">
        <f t="shared" si="25"/>
        <v>1367.1399999999999</v>
      </c>
      <c r="N90" s="102">
        <f t="shared" si="25"/>
        <v>1370.94</v>
      </c>
      <c r="O90" s="102">
        <f t="shared" si="25"/>
        <v>1286.04</v>
      </c>
      <c r="P90" s="102">
        <f t="shared" si="25"/>
        <v>1304.6399999999999</v>
      </c>
      <c r="Q90" s="102">
        <f t="shared" si="25"/>
        <v>1321.74</v>
      </c>
      <c r="R90" s="102">
        <f t="shared" si="25"/>
        <v>1336.74</v>
      </c>
      <c r="S90" s="102">
        <f t="shared" si="25"/>
        <v>1431.3400000000001</v>
      </c>
      <c r="T90" s="102">
        <f t="shared" si="25"/>
        <v>1389.14</v>
      </c>
      <c r="U90" s="102">
        <f t="shared" si="25"/>
        <v>1350.1399999999999</v>
      </c>
      <c r="V90" s="102">
        <f t="shared" si="25"/>
        <v>1349.1399999999999</v>
      </c>
      <c r="W90" s="102">
        <f t="shared" si="25"/>
        <v>1551.74</v>
      </c>
      <c r="X90" s="102">
        <f t="shared" si="25"/>
        <v>1492.54</v>
      </c>
      <c r="Y90" s="102">
        <f t="shared" si="25"/>
        <v>1559.54</v>
      </c>
      <c r="Z90" s="102">
        <f t="shared" si="25"/>
        <v>1698.1399999999999</v>
      </c>
      <c r="AA90" s="102">
        <f t="shared" si="25"/>
        <v>1634.84</v>
      </c>
      <c r="AB90" s="102">
        <f t="shared" si="25"/>
        <v>1587.94</v>
      </c>
      <c r="AC90" s="102">
        <f t="shared" si="25"/>
        <v>1604.6399999999999</v>
      </c>
      <c r="AD90" s="102">
        <f t="shared" si="25"/>
        <v>1587.7399999999998</v>
      </c>
      <c r="AE90" s="102">
        <f t="shared" si="25"/>
        <v>1463.54</v>
      </c>
      <c r="AF90" s="102">
        <f t="shared" si="25"/>
        <v>1469.04</v>
      </c>
      <c r="AG90" s="95"/>
      <c r="AH90" s="52">
        <f t="shared" si="20"/>
        <v>1698.1399999999999</v>
      </c>
      <c r="AI90" s="53">
        <f t="shared" si="21"/>
        <v>1228.7399999999998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20"/>
        <v>0</v>
      </c>
      <c r="AI91" s="53">
        <f t="shared" si="21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20"/>
        <v>0</v>
      </c>
      <c r="AI92" s="53">
        <f t="shared" si="21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20"/>
        <v>0</v>
      </c>
      <c r="AI93" s="53">
        <f t="shared" si="21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20"/>
        <v>0</v>
      </c>
      <c r="AI94" s="53">
        <f t="shared" si="21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20"/>
        <v>0</v>
      </c>
      <c r="AI95" s="53">
        <f t="shared" si="21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20"/>
        <v>0</v>
      </c>
      <c r="AI96" s="53">
        <f t="shared" si="21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>
        <v>0</v>
      </c>
      <c r="AA97" s="67"/>
      <c r="AB97" s="67"/>
      <c r="AC97" s="67"/>
      <c r="AD97" s="67"/>
      <c r="AE97" s="67"/>
      <c r="AF97" s="67"/>
      <c r="AG97" s="95"/>
      <c r="AH97" s="52">
        <f t="shared" si="20"/>
        <v>0</v>
      </c>
      <c r="AI97" s="53">
        <f t="shared" si="21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:AF98" si="26">B82-B97</f>
        <v>329</v>
      </c>
      <c r="C98" s="67">
        <f t="shared" si="26"/>
        <v>419</v>
      </c>
      <c r="D98" s="67">
        <f t="shared" si="26"/>
        <v>503</v>
      </c>
      <c r="E98" s="67">
        <f t="shared" si="26"/>
        <v>537.9</v>
      </c>
      <c r="F98" s="67">
        <f t="shared" si="26"/>
        <v>535.6</v>
      </c>
      <c r="G98" s="67">
        <f t="shared" si="26"/>
        <v>512.29999999999995</v>
      </c>
      <c r="H98" s="67">
        <f t="shared" si="26"/>
        <v>564.70000000000005</v>
      </c>
      <c r="I98" s="67">
        <f t="shared" si="26"/>
        <v>511.8</v>
      </c>
      <c r="J98" s="67">
        <f t="shared" si="26"/>
        <v>527.79999999999995</v>
      </c>
      <c r="K98" s="67">
        <f t="shared" si="26"/>
        <v>525.70000000000005</v>
      </c>
      <c r="L98" s="67">
        <f t="shared" si="26"/>
        <v>580.6</v>
      </c>
      <c r="M98" s="67">
        <f t="shared" si="26"/>
        <v>598.79999999999995</v>
      </c>
      <c r="N98" s="67">
        <f t="shared" si="26"/>
        <v>575.69999999999993</v>
      </c>
      <c r="O98" s="67">
        <f t="shared" si="26"/>
        <v>590.80000000000007</v>
      </c>
      <c r="P98" s="67">
        <f t="shared" si="26"/>
        <v>602.80000000000007</v>
      </c>
      <c r="Q98" s="67">
        <f t="shared" si="26"/>
        <v>570.80000000000007</v>
      </c>
      <c r="R98" s="67">
        <f t="shared" si="26"/>
        <v>585.80000000000007</v>
      </c>
      <c r="S98" s="67">
        <f t="shared" si="26"/>
        <v>585.6</v>
      </c>
      <c r="T98" s="67">
        <f t="shared" si="26"/>
        <v>580.6</v>
      </c>
      <c r="U98" s="67">
        <f t="shared" si="26"/>
        <v>556.6</v>
      </c>
      <c r="V98" s="67">
        <f t="shared" si="26"/>
        <v>555.6</v>
      </c>
      <c r="W98" s="67">
        <f t="shared" si="26"/>
        <v>605.6</v>
      </c>
      <c r="X98" s="67">
        <f t="shared" si="26"/>
        <v>535.6</v>
      </c>
      <c r="Y98" s="67">
        <f t="shared" si="26"/>
        <v>615.6</v>
      </c>
      <c r="Z98" s="67">
        <f t="shared" si="26"/>
        <v>700.6</v>
      </c>
      <c r="AA98" s="67">
        <f t="shared" si="26"/>
        <v>442.6</v>
      </c>
      <c r="AB98" s="67">
        <f t="shared" si="26"/>
        <v>471.9</v>
      </c>
      <c r="AC98" s="67">
        <f t="shared" si="26"/>
        <v>534.79999999999995</v>
      </c>
      <c r="AD98" s="67">
        <f t="shared" si="26"/>
        <v>515.4</v>
      </c>
      <c r="AE98" s="67">
        <f t="shared" si="26"/>
        <v>402.4</v>
      </c>
      <c r="AF98" s="67">
        <f t="shared" si="26"/>
        <v>445.4</v>
      </c>
      <c r="AG98" s="95"/>
      <c r="AH98" s="52">
        <f t="shared" si="20"/>
        <v>700.6</v>
      </c>
      <c r="AI98" s="53">
        <f t="shared" si="21"/>
        <v>329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50.024999999999999</v>
      </c>
      <c r="C99" s="108">
        <v>49.984000000000002</v>
      </c>
      <c r="D99" s="108">
        <v>50</v>
      </c>
      <c r="E99" s="108">
        <v>49.938000000000002</v>
      </c>
      <c r="F99" s="108">
        <v>50.036000000000001</v>
      </c>
      <c r="G99" s="108">
        <v>50.029000000000003</v>
      </c>
      <c r="H99" s="108">
        <v>50.029000000000003</v>
      </c>
      <c r="I99" s="108">
        <v>50.045999999999999</v>
      </c>
      <c r="J99" s="108">
        <v>49.984000000000002</v>
      </c>
      <c r="K99" s="108">
        <v>50.048000000000002</v>
      </c>
      <c r="L99" s="108">
        <v>49.929000000000002</v>
      </c>
      <c r="M99" s="108">
        <v>50.098999999999997</v>
      </c>
      <c r="N99" s="108">
        <v>50.039000000000001</v>
      </c>
      <c r="O99" s="108">
        <v>49.972000000000001</v>
      </c>
      <c r="P99" s="108">
        <v>49.993000000000002</v>
      </c>
      <c r="Q99" s="108">
        <v>49.98</v>
      </c>
      <c r="R99" s="108">
        <v>49.98</v>
      </c>
      <c r="S99" s="108">
        <v>50.01</v>
      </c>
      <c r="T99" s="108">
        <v>49.94</v>
      </c>
      <c r="U99" s="108">
        <v>49.94</v>
      </c>
      <c r="V99" s="108">
        <v>49.94</v>
      </c>
      <c r="W99" s="108">
        <v>50.06</v>
      </c>
      <c r="X99" s="108">
        <v>49.92</v>
      </c>
      <c r="Y99" s="108">
        <v>50</v>
      </c>
      <c r="Z99" s="108">
        <v>50.07</v>
      </c>
      <c r="AA99" s="108">
        <v>49.98</v>
      </c>
      <c r="AB99" s="108">
        <v>50.054000000000002</v>
      </c>
      <c r="AC99" s="108">
        <v>49.978000000000002</v>
      </c>
      <c r="AD99" s="108">
        <v>49.929000000000002</v>
      </c>
      <c r="AE99" s="108">
        <v>49.9</v>
      </c>
      <c r="AF99" s="108">
        <v>49.951999999999998</v>
      </c>
      <c r="AG99" s="109"/>
      <c r="AH99" s="52">
        <f t="shared" si="20"/>
        <v>50.098999999999997</v>
      </c>
      <c r="AI99" s="53">
        <f t="shared" si="21"/>
        <v>49.9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125.8</v>
      </c>
      <c r="C100" s="72">
        <v>127.6</v>
      </c>
      <c r="D100" s="72">
        <v>126.7</v>
      </c>
      <c r="E100" s="72">
        <v>126.7</v>
      </c>
      <c r="F100" s="72">
        <v>126.2</v>
      </c>
      <c r="G100" s="72">
        <v>125.4</v>
      </c>
      <c r="H100" s="72">
        <v>125.2</v>
      </c>
      <c r="I100" s="72">
        <v>127.5</v>
      </c>
      <c r="J100" s="72">
        <v>126.6</v>
      </c>
      <c r="K100" s="72">
        <v>126.4</v>
      </c>
      <c r="L100" s="72">
        <v>124.8</v>
      </c>
      <c r="M100" s="72">
        <v>124.4</v>
      </c>
      <c r="N100" s="72">
        <v>126</v>
      </c>
      <c r="O100" s="72">
        <v>125.8</v>
      </c>
      <c r="P100" s="72">
        <v>124</v>
      </c>
      <c r="Q100" s="72">
        <v>125.4</v>
      </c>
      <c r="R100" s="72">
        <v>125.4</v>
      </c>
      <c r="S100" s="72">
        <v>124.2</v>
      </c>
      <c r="T100" s="72">
        <v>124.6</v>
      </c>
      <c r="U100" s="72">
        <v>124.6</v>
      </c>
      <c r="V100" s="72">
        <v>124.6</v>
      </c>
      <c r="W100" s="72">
        <v>127.4</v>
      </c>
      <c r="X100" s="72">
        <v>130.9</v>
      </c>
      <c r="Y100" s="72">
        <v>127</v>
      </c>
      <c r="Z100" s="72">
        <v>124.7</v>
      </c>
      <c r="AA100" s="72">
        <v>127.6</v>
      </c>
      <c r="AB100" s="72">
        <v>128</v>
      </c>
      <c r="AC100" s="72">
        <v>128</v>
      </c>
      <c r="AD100" s="72">
        <v>128</v>
      </c>
      <c r="AE100" s="72">
        <v>128</v>
      </c>
      <c r="AF100" s="72">
        <v>126.2</v>
      </c>
      <c r="AG100" s="111"/>
      <c r="AH100" s="52">
        <f t="shared" si="20"/>
        <v>130.9</v>
      </c>
      <c r="AI100" s="53">
        <f t="shared" si="21"/>
        <v>124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130.6</v>
      </c>
      <c r="C101" s="72">
        <v>131.6</v>
      </c>
      <c r="D101" s="72">
        <v>131.4</v>
      </c>
      <c r="E101" s="72">
        <v>131.30000000000001</v>
      </c>
      <c r="F101" s="72">
        <v>130.9</v>
      </c>
      <c r="G101" s="72">
        <v>129.9</v>
      </c>
      <c r="H101" s="72">
        <v>129.80000000000001</v>
      </c>
      <c r="I101" s="72">
        <v>130.80000000000001</v>
      </c>
      <c r="J101" s="72">
        <v>129.5</v>
      </c>
      <c r="K101" s="72">
        <v>128.69999999999999</v>
      </c>
      <c r="L101" s="72">
        <v>127.1</v>
      </c>
      <c r="M101" s="72">
        <v>126.9</v>
      </c>
      <c r="N101" s="72">
        <v>127.8</v>
      </c>
      <c r="O101" s="72">
        <v>128.1</v>
      </c>
      <c r="P101" s="72">
        <v>128.30000000000001</v>
      </c>
      <c r="Q101" s="72">
        <v>129.80000000000001</v>
      </c>
      <c r="R101" s="72">
        <v>129.80000000000001</v>
      </c>
      <c r="S101" s="72">
        <v>128.6</v>
      </c>
      <c r="T101" s="72">
        <v>128.80000000000001</v>
      </c>
      <c r="U101" s="72">
        <v>128.80000000000001</v>
      </c>
      <c r="V101" s="72">
        <v>128.80000000000001</v>
      </c>
      <c r="W101" s="72">
        <v>130.69999999999999</v>
      </c>
      <c r="X101" s="72">
        <v>130.69999999999999</v>
      </c>
      <c r="Y101" s="72">
        <v>130.1</v>
      </c>
      <c r="Z101" s="72">
        <v>128</v>
      </c>
      <c r="AA101" s="72">
        <v>130.4</v>
      </c>
      <c r="AB101" s="72">
        <v>131</v>
      </c>
      <c r="AC101" s="72">
        <v>131</v>
      </c>
      <c r="AD101" s="72">
        <v>131</v>
      </c>
      <c r="AE101" s="72">
        <v>131</v>
      </c>
      <c r="AF101" s="72">
        <v>130.80000000000001</v>
      </c>
      <c r="AG101" s="111"/>
      <c r="AH101" s="52">
        <f t="shared" si="20"/>
        <v>131.6</v>
      </c>
      <c r="AI101" s="53">
        <f t="shared" si="21"/>
        <v>126.9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128.30000000000001</v>
      </c>
      <c r="C102" s="72">
        <v>132.69999999999999</v>
      </c>
      <c r="D102" s="72">
        <v>131.1</v>
      </c>
      <c r="E102" s="72">
        <v>132.6</v>
      </c>
      <c r="F102" s="72">
        <v>128.4</v>
      </c>
      <c r="G102" s="72">
        <v>129.4</v>
      </c>
      <c r="H102" s="72">
        <v>128.80000000000001</v>
      </c>
      <c r="I102" s="72">
        <v>129</v>
      </c>
      <c r="J102" s="72">
        <v>129.80000000000001</v>
      </c>
      <c r="K102" s="72">
        <v>129.6</v>
      </c>
      <c r="L102" s="72">
        <v>127.3</v>
      </c>
      <c r="M102" s="72">
        <v>127.4</v>
      </c>
      <c r="N102" s="72">
        <v>131.69999999999999</v>
      </c>
      <c r="O102" s="72">
        <v>128.6</v>
      </c>
      <c r="P102" s="72">
        <v>126.7</v>
      </c>
      <c r="Q102" s="72">
        <v>128.80000000000001</v>
      </c>
      <c r="R102" s="72">
        <v>128.80000000000001</v>
      </c>
      <c r="S102" s="72">
        <v>131.5</v>
      </c>
      <c r="T102" s="72">
        <v>126.1</v>
      </c>
      <c r="U102" s="72">
        <v>126.1</v>
      </c>
      <c r="V102" s="72">
        <v>126.1</v>
      </c>
      <c r="W102" s="72">
        <v>126.9</v>
      </c>
      <c r="X102" s="72">
        <v>126.9</v>
      </c>
      <c r="Y102" s="72">
        <v>122</v>
      </c>
      <c r="Z102" s="72">
        <v>127.1</v>
      </c>
      <c r="AA102" s="72">
        <v>131.6</v>
      </c>
      <c r="AB102" s="72">
        <v>129</v>
      </c>
      <c r="AC102" s="72">
        <v>129</v>
      </c>
      <c r="AD102" s="72">
        <v>129</v>
      </c>
      <c r="AE102" s="72">
        <v>129</v>
      </c>
      <c r="AF102" s="72">
        <v>129.19999999999999</v>
      </c>
      <c r="AG102" s="111"/>
      <c r="AH102" s="52">
        <f t="shared" si="20"/>
        <v>132.69999999999999</v>
      </c>
      <c r="AI102" s="53">
        <f t="shared" si="21"/>
        <v>122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20"/>
        <v>0</v>
      </c>
      <c r="AI103" s="53">
        <f t="shared" si="21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133.30000000000001</v>
      </c>
      <c r="C104" s="113">
        <v>130.9</v>
      </c>
      <c r="D104" s="113">
        <v>133.30000000000001</v>
      </c>
      <c r="E104" s="113">
        <v>130.69999999999999</v>
      </c>
      <c r="F104" s="113">
        <v>132.4</v>
      </c>
      <c r="G104" s="113">
        <v>127.7</v>
      </c>
      <c r="H104" s="113">
        <v>130.1</v>
      </c>
      <c r="I104" s="113">
        <v>134</v>
      </c>
      <c r="J104" s="113">
        <v>136.80000000000001</v>
      </c>
      <c r="K104" s="113">
        <v>131.69999999999999</v>
      </c>
      <c r="L104" s="113">
        <v>129.9</v>
      </c>
      <c r="M104" s="113">
        <v>130.47</v>
      </c>
      <c r="N104" s="113">
        <v>129.30000000000001</v>
      </c>
      <c r="O104" s="113">
        <v>130.9</v>
      </c>
      <c r="P104" s="113">
        <v>129.6</v>
      </c>
      <c r="Q104" s="113">
        <v>138</v>
      </c>
      <c r="R104" s="113">
        <v>138</v>
      </c>
      <c r="S104" s="113">
        <v>131.1</v>
      </c>
      <c r="T104" s="113">
        <v>130.9</v>
      </c>
      <c r="U104" s="113">
        <v>130.9</v>
      </c>
      <c r="V104" s="113">
        <v>130.9</v>
      </c>
      <c r="W104" s="113">
        <v>133.80000000000001</v>
      </c>
      <c r="X104" s="113">
        <v>135.19999999999999</v>
      </c>
      <c r="Y104" s="113">
        <v>132.1</v>
      </c>
      <c r="Z104" s="113">
        <v>129.19999999999999</v>
      </c>
      <c r="AA104" s="113">
        <v>135.6</v>
      </c>
      <c r="AB104" s="113">
        <v>134</v>
      </c>
      <c r="AC104" s="113">
        <v>134</v>
      </c>
      <c r="AD104" s="113">
        <v>134</v>
      </c>
      <c r="AE104" s="113">
        <v>134</v>
      </c>
      <c r="AF104" s="113">
        <v>129.30000000000001</v>
      </c>
      <c r="AG104" s="114"/>
      <c r="AH104" s="52">
        <f t="shared" si="20"/>
        <v>138</v>
      </c>
      <c r="AI104" s="53">
        <f t="shared" si="21"/>
        <v>127.7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132.69999999999999</v>
      </c>
      <c r="C105" s="72">
        <v>131.30000000000001</v>
      </c>
      <c r="D105" s="72">
        <v>130.6</v>
      </c>
      <c r="E105" s="72">
        <v>130.69999999999999</v>
      </c>
      <c r="F105" s="72">
        <v>128.69999999999999</v>
      </c>
      <c r="G105" s="72">
        <v>129.19999999999999</v>
      </c>
      <c r="H105" s="72">
        <v>125.9</v>
      </c>
      <c r="I105" s="72">
        <v>128.19999999999999</v>
      </c>
      <c r="J105" s="72">
        <v>130.69999999999999</v>
      </c>
      <c r="K105" s="72">
        <v>128.69999999999999</v>
      </c>
      <c r="L105" s="72">
        <v>128</v>
      </c>
      <c r="M105" s="72">
        <v>129.80000000000001</v>
      </c>
      <c r="N105" s="72">
        <v>127.6</v>
      </c>
      <c r="O105" s="72">
        <v>125.9</v>
      </c>
      <c r="P105" s="72">
        <v>129.30000000000001</v>
      </c>
      <c r="Q105" s="72">
        <v>129</v>
      </c>
      <c r="R105" s="72">
        <v>129</v>
      </c>
      <c r="S105" s="72">
        <v>134.69999999999999</v>
      </c>
      <c r="T105" s="72">
        <v>1228.5</v>
      </c>
      <c r="U105" s="72">
        <v>1228.5</v>
      </c>
      <c r="V105" s="72">
        <v>1228.5</v>
      </c>
      <c r="W105" s="72">
        <v>135.5</v>
      </c>
      <c r="X105" s="72">
        <v>133.13999999999999</v>
      </c>
      <c r="Y105" s="72">
        <v>134.1</v>
      </c>
      <c r="Z105" s="72">
        <v>134.5</v>
      </c>
      <c r="AA105" s="72">
        <v>129.4</v>
      </c>
      <c r="AB105" s="72">
        <v>128.9</v>
      </c>
      <c r="AC105" s="72">
        <v>128.9</v>
      </c>
      <c r="AD105" s="72">
        <v>128.9</v>
      </c>
      <c r="AE105" s="72">
        <v>128.9</v>
      </c>
      <c r="AF105" s="72">
        <v>132.9</v>
      </c>
      <c r="AG105" s="111"/>
      <c r="AH105" s="52">
        <f t="shared" si="20"/>
        <v>1228.5</v>
      </c>
      <c r="AI105" s="53">
        <f t="shared" si="21"/>
        <v>125.9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65.400000000000006</v>
      </c>
      <c r="C106" s="99">
        <v>65.8</v>
      </c>
      <c r="D106" s="99">
        <v>65.8</v>
      </c>
      <c r="E106" s="99">
        <v>66</v>
      </c>
      <c r="F106" s="99">
        <v>65.8</v>
      </c>
      <c r="G106" s="99">
        <v>65.400000000000006</v>
      </c>
      <c r="H106" s="99">
        <v>65.3</v>
      </c>
      <c r="I106" s="99">
        <v>65.8</v>
      </c>
      <c r="J106" s="99">
        <v>65.099999999999994</v>
      </c>
      <c r="K106" s="99">
        <v>64.900000000000006</v>
      </c>
      <c r="L106" s="99">
        <v>64.2</v>
      </c>
      <c r="M106" s="99">
        <v>64.099999999999994</v>
      </c>
      <c r="N106" s="99">
        <v>64.3</v>
      </c>
      <c r="O106" s="99">
        <v>64.5</v>
      </c>
      <c r="P106" s="99">
        <v>64.7</v>
      </c>
      <c r="Q106" s="99">
        <v>65</v>
      </c>
      <c r="R106" s="99">
        <v>65</v>
      </c>
      <c r="S106" s="99">
        <v>64.8</v>
      </c>
      <c r="T106" s="99">
        <v>64.900000000000006</v>
      </c>
      <c r="U106" s="99">
        <v>64.900000000000006</v>
      </c>
      <c r="V106" s="99">
        <v>64.900000000000006</v>
      </c>
      <c r="W106" s="99">
        <v>65.7</v>
      </c>
      <c r="X106" s="99">
        <v>66.2</v>
      </c>
      <c r="Y106" s="99">
        <v>65.2</v>
      </c>
      <c r="Z106" s="99">
        <v>64.2</v>
      </c>
      <c r="AA106" s="99">
        <v>65.400000000000006</v>
      </c>
      <c r="AB106" s="99">
        <v>65.900000000000006</v>
      </c>
      <c r="AC106" s="99">
        <v>65.900000000000006</v>
      </c>
      <c r="AD106" s="99">
        <v>65.900000000000006</v>
      </c>
      <c r="AE106" s="99">
        <v>65.900000000000006</v>
      </c>
      <c r="AF106" s="99">
        <v>65.8</v>
      </c>
      <c r="AG106" s="115"/>
      <c r="AH106" s="52">
        <f t="shared" si="20"/>
        <v>66.2</v>
      </c>
      <c r="AI106" s="53">
        <f t="shared" si="21"/>
        <v>64.099999999999994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 t="s">
        <v>115</v>
      </c>
      <c r="AA107" s="99"/>
      <c r="AB107" s="99"/>
      <c r="AC107" s="99"/>
      <c r="AD107" s="99"/>
      <c r="AE107" s="99"/>
      <c r="AF107" s="99"/>
      <c r="AG107" s="115"/>
      <c r="AH107" s="52">
        <f t="shared" si="20"/>
        <v>0</v>
      </c>
      <c r="AI107" s="53">
        <f t="shared" si="21"/>
        <v>0</v>
      </c>
    </row>
    <row r="108" spans="1:88" ht="15.75" thickBot="1" x14ac:dyDescent="0.3">
      <c r="A108" s="117" t="s">
        <v>116</v>
      </c>
      <c r="B108" s="118">
        <f t="shared" ref="B108:AF108" si="27">SUM(B18,B24,B27:B28,B56,B58:B59,B61,B63,B109:B113,B135,B141,B147,B156,B158,B170,B177,B180:B181,B188,B190,B192,B196:B198,B200:B202,B207,B213:B214,B216:B218,B226,B231)</f>
        <v>136.6</v>
      </c>
      <c r="C108" s="118">
        <f t="shared" si="27"/>
        <v>123.23999999999998</v>
      </c>
      <c r="D108" s="118">
        <f t="shared" si="27"/>
        <v>113.33999999999997</v>
      </c>
      <c r="E108" s="118">
        <f t="shared" si="27"/>
        <v>117.03999999999999</v>
      </c>
      <c r="F108" s="118">
        <f t="shared" si="27"/>
        <v>123.24</v>
      </c>
      <c r="G108" s="118">
        <f t="shared" si="27"/>
        <v>141.44</v>
      </c>
      <c r="H108" s="118">
        <f t="shared" si="27"/>
        <v>167.04</v>
      </c>
      <c r="I108" s="118">
        <f t="shared" si="27"/>
        <v>196.84</v>
      </c>
      <c r="J108" s="118">
        <f t="shared" si="27"/>
        <v>222.23999999999998</v>
      </c>
      <c r="K108" s="118">
        <f t="shared" si="27"/>
        <v>242.24</v>
      </c>
      <c r="L108" s="118">
        <f t="shared" si="27"/>
        <v>269.73999999999995</v>
      </c>
      <c r="M108" s="118">
        <f t="shared" si="27"/>
        <v>284.54000000000002</v>
      </c>
      <c r="N108" s="118">
        <f t="shared" si="27"/>
        <v>264.64</v>
      </c>
      <c r="O108" s="118">
        <f t="shared" si="27"/>
        <v>249.34</v>
      </c>
      <c r="P108" s="118">
        <v>42</v>
      </c>
      <c r="Q108" s="118">
        <f t="shared" si="27"/>
        <v>164.3</v>
      </c>
      <c r="R108" s="118">
        <f t="shared" si="27"/>
        <v>164.3</v>
      </c>
      <c r="S108" s="118">
        <f t="shared" si="27"/>
        <v>179.89999999999998</v>
      </c>
      <c r="T108" s="118">
        <f t="shared" si="27"/>
        <v>179.59999999999997</v>
      </c>
      <c r="U108" s="118">
        <f t="shared" si="27"/>
        <v>179.59999999999997</v>
      </c>
      <c r="V108" s="118">
        <f t="shared" si="27"/>
        <v>186.39999999999998</v>
      </c>
      <c r="W108" s="118">
        <f t="shared" si="27"/>
        <v>180.39999999999998</v>
      </c>
      <c r="X108" s="118">
        <f t="shared" si="27"/>
        <v>228.76</v>
      </c>
      <c r="Y108" s="118">
        <f t="shared" si="27"/>
        <v>239.4</v>
      </c>
      <c r="Z108" s="118">
        <f t="shared" si="27"/>
        <v>277.39999999999998</v>
      </c>
      <c r="AA108" s="118">
        <f t="shared" si="27"/>
        <v>279.3</v>
      </c>
      <c r="AB108" s="118">
        <f t="shared" si="27"/>
        <v>277.5</v>
      </c>
      <c r="AC108" s="118">
        <f t="shared" si="27"/>
        <v>263.7</v>
      </c>
      <c r="AD108" s="118">
        <f t="shared" si="27"/>
        <v>238.29999999999998</v>
      </c>
      <c r="AE108" s="118">
        <f t="shared" si="27"/>
        <v>181.59999999999997</v>
      </c>
      <c r="AF108" s="118">
        <f t="shared" si="27"/>
        <v>134.5</v>
      </c>
      <c r="AG108" s="119"/>
      <c r="AH108" s="52">
        <f t="shared" si="20"/>
        <v>284.54000000000002</v>
      </c>
      <c r="AI108" s="53">
        <f t="shared" si="21"/>
        <v>42</v>
      </c>
    </row>
    <row r="109" spans="1:88" x14ac:dyDescent="0.25">
      <c r="A109" s="107" t="s">
        <v>117</v>
      </c>
      <c r="B109" s="120">
        <v>-10.8</v>
      </c>
      <c r="C109" s="120">
        <v>-16.2</v>
      </c>
      <c r="D109" s="120">
        <v>-18.600000000000001</v>
      </c>
      <c r="E109" s="120">
        <v>-20.399999999999999</v>
      </c>
      <c r="F109" s="120">
        <v>-19.5</v>
      </c>
      <c r="G109" s="120">
        <v>-18.600000000000001</v>
      </c>
      <c r="H109" s="120">
        <v>-19.5</v>
      </c>
      <c r="I109" s="120">
        <v>-14.4</v>
      </c>
      <c r="J109" s="120">
        <v>-14.2</v>
      </c>
      <c r="K109" s="120">
        <v>-11.7</v>
      </c>
      <c r="L109" s="120">
        <v>-16.2</v>
      </c>
      <c r="M109" s="120">
        <v>-16</v>
      </c>
      <c r="N109" s="120">
        <v>-17.3</v>
      </c>
      <c r="O109" s="120">
        <v>-12.7</v>
      </c>
      <c r="P109" s="120">
        <v>1.3</v>
      </c>
      <c r="Q109" s="120">
        <v>19.5</v>
      </c>
      <c r="R109" s="120">
        <v>19.5</v>
      </c>
      <c r="S109" s="120">
        <v>10.5</v>
      </c>
      <c r="T109" s="120">
        <v>7.6</v>
      </c>
      <c r="U109" s="120">
        <v>7.6</v>
      </c>
      <c r="V109" s="120">
        <v>7</v>
      </c>
      <c r="W109" s="120">
        <v>1.4</v>
      </c>
      <c r="X109" s="120">
        <v>20.6</v>
      </c>
      <c r="Y109" s="120">
        <v>12.4</v>
      </c>
      <c r="Z109" s="120">
        <v>11.5</v>
      </c>
      <c r="AA109" s="120">
        <v>14.9</v>
      </c>
      <c r="AB109" s="120">
        <v>10.7</v>
      </c>
      <c r="AC109" s="120">
        <v>8</v>
      </c>
      <c r="AD109" s="120">
        <v>7.2</v>
      </c>
      <c r="AE109" s="120">
        <v>5.3</v>
      </c>
      <c r="AF109" s="120">
        <v>-13.4</v>
      </c>
      <c r="AG109" s="121">
        <v>75</v>
      </c>
      <c r="AH109" s="52">
        <f t="shared" si="20"/>
        <v>20.6</v>
      </c>
      <c r="AI109" s="53">
        <f t="shared" si="21"/>
        <v>-20.399999999999999</v>
      </c>
    </row>
    <row r="110" spans="1:88" x14ac:dyDescent="0.25">
      <c r="A110" s="110" t="s">
        <v>118</v>
      </c>
      <c r="B110" s="122">
        <v>-12.6</v>
      </c>
      <c r="C110" s="122">
        <v>-20.5</v>
      </c>
      <c r="D110" s="122">
        <v>-22</v>
      </c>
      <c r="E110" s="122">
        <v>-24</v>
      </c>
      <c r="F110" s="122">
        <v>-25.5</v>
      </c>
      <c r="G110" s="122">
        <v>-24.6</v>
      </c>
      <c r="H110" s="122">
        <v>-23.7</v>
      </c>
      <c r="I110" s="122">
        <v>-20.9</v>
      </c>
      <c r="J110" s="122">
        <v>-23.1</v>
      </c>
      <c r="K110" s="122">
        <v>-17</v>
      </c>
      <c r="L110" s="122">
        <v>-23.9</v>
      </c>
      <c r="M110" s="122">
        <v>24.2</v>
      </c>
      <c r="N110" s="122">
        <v>-25.7</v>
      </c>
      <c r="O110" s="122">
        <v>-19.7</v>
      </c>
      <c r="P110" s="122">
        <v>6.3</v>
      </c>
      <c r="Q110" s="122">
        <v>-29.5</v>
      </c>
      <c r="R110" s="122">
        <v>-29.5</v>
      </c>
      <c r="S110" s="122">
        <v>17.600000000000001</v>
      </c>
      <c r="T110" s="122">
        <v>15.6</v>
      </c>
      <c r="U110" s="122">
        <v>15.6</v>
      </c>
      <c r="V110" s="122">
        <v>12.6</v>
      </c>
      <c r="W110" s="122">
        <v>4.3</v>
      </c>
      <c r="X110" s="122">
        <v>25.7</v>
      </c>
      <c r="Y110" s="122">
        <v>19.2</v>
      </c>
      <c r="Z110" s="122">
        <v>18.8</v>
      </c>
      <c r="AA110" s="122">
        <v>22.5</v>
      </c>
      <c r="AB110" s="122">
        <v>15</v>
      </c>
      <c r="AC110" s="122">
        <v>11.7</v>
      </c>
      <c r="AD110" s="122">
        <v>12.3</v>
      </c>
      <c r="AE110" s="122">
        <v>8.8000000000000007</v>
      </c>
      <c r="AF110" s="122">
        <v>-20.6</v>
      </c>
      <c r="AG110" s="121">
        <v>240</v>
      </c>
      <c r="AH110" s="52">
        <f t="shared" si="20"/>
        <v>25.7</v>
      </c>
      <c r="AI110" s="53">
        <f t="shared" si="21"/>
        <v>-29.5</v>
      </c>
    </row>
    <row r="111" spans="1:88" x14ac:dyDescent="0.25">
      <c r="A111" s="110" t="s">
        <v>119</v>
      </c>
      <c r="B111" s="122">
        <v>-55</v>
      </c>
      <c r="C111" s="122">
        <v>-44</v>
      </c>
      <c r="D111" s="122">
        <v>-46</v>
      </c>
      <c r="E111" s="122">
        <v>-42</v>
      </c>
      <c r="F111" s="122">
        <v>-34</v>
      </c>
      <c r="G111" s="122">
        <v>-28.3</v>
      </c>
      <c r="H111" s="122">
        <v>-10</v>
      </c>
      <c r="I111" s="122">
        <v>12</v>
      </c>
      <c r="J111" s="122">
        <v>23</v>
      </c>
      <c r="K111" s="122">
        <v>31</v>
      </c>
      <c r="L111" s="122">
        <v>48</v>
      </c>
      <c r="M111" s="122">
        <v>6</v>
      </c>
      <c r="N111" s="122">
        <f>26+20.1</f>
        <v>46.1</v>
      </c>
      <c r="O111" s="122">
        <v>16.600000000000001</v>
      </c>
      <c r="P111" s="122">
        <v>-14</v>
      </c>
      <c r="Q111" s="122">
        <v>-40</v>
      </c>
      <c r="R111" s="122">
        <v>-40</v>
      </c>
      <c r="S111" s="122">
        <f>-52.7-22.7</f>
        <v>-75.400000000000006</v>
      </c>
      <c r="T111" s="122">
        <f>-49.6-19.8</f>
        <v>-69.400000000000006</v>
      </c>
      <c r="U111" s="122">
        <f t="shared" ref="U111" si="28">-49.6-19.8</f>
        <v>-69.400000000000006</v>
      </c>
      <c r="V111" s="122">
        <f>-41-10.5</f>
        <v>-51.5</v>
      </c>
      <c r="W111" s="122">
        <f>-34.6-3.2</f>
        <v>-37.800000000000004</v>
      </c>
      <c r="X111" s="122">
        <f>-27.9+3.9</f>
        <v>-24</v>
      </c>
      <c r="Y111" s="122">
        <f>-24.4+7</f>
        <v>-17.399999999999999</v>
      </c>
      <c r="Z111" s="122">
        <v>-0.89999999999999858</v>
      </c>
      <c r="AA111" s="122">
        <f>-19.8+12.4</f>
        <v>-7.4</v>
      </c>
      <c r="AB111" s="122">
        <v>25.6</v>
      </c>
      <c r="AC111" s="122">
        <v>30.6</v>
      </c>
      <c r="AD111" s="122">
        <v>-4.8</v>
      </c>
      <c r="AE111" s="122">
        <v>-34</v>
      </c>
      <c r="AF111" s="122">
        <v>-45</v>
      </c>
      <c r="AG111" s="121">
        <v>240</v>
      </c>
      <c r="AH111" s="52">
        <f t="shared" si="20"/>
        <v>48</v>
      </c>
      <c r="AI111" s="53">
        <f t="shared" si="21"/>
        <v>-75.400000000000006</v>
      </c>
    </row>
    <row r="112" spans="1:88" x14ac:dyDescent="0.25">
      <c r="A112" s="110" t="s">
        <v>120</v>
      </c>
      <c r="B112" s="122">
        <v>33</v>
      </c>
      <c r="C112" s="122">
        <v>35</v>
      </c>
      <c r="D112" s="122">
        <v>32</v>
      </c>
      <c r="E112" s="122">
        <v>27.3</v>
      </c>
      <c r="F112" s="122">
        <v>28</v>
      </c>
      <c r="G112" s="122">
        <v>33.700000000000003</v>
      </c>
      <c r="H112" s="122">
        <v>24.6</v>
      </c>
      <c r="I112" s="122">
        <v>28.4</v>
      </c>
      <c r="J112" s="122">
        <v>36.1</v>
      </c>
      <c r="K112" s="122">
        <v>35.200000000000003</v>
      </c>
      <c r="L112" s="122">
        <v>40.1</v>
      </c>
      <c r="M112" s="122">
        <v>50.8</v>
      </c>
      <c r="N112" s="122">
        <v>50.5</v>
      </c>
      <c r="O112" s="122">
        <v>34</v>
      </c>
      <c r="P112" s="122">
        <v>42.4</v>
      </c>
      <c r="Q112" s="122">
        <v>30.6</v>
      </c>
      <c r="R112" s="122">
        <v>30.6</v>
      </c>
      <c r="S112" s="122">
        <v>34.299999999999997</v>
      </c>
      <c r="T112" s="122">
        <v>36.200000000000003</v>
      </c>
      <c r="U112" s="122">
        <v>36.200000000000003</v>
      </c>
      <c r="V112" s="122">
        <v>40.200000000000003</v>
      </c>
      <c r="W112" s="122">
        <v>35.6</v>
      </c>
      <c r="X112" s="122">
        <v>52.66</v>
      </c>
      <c r="Y112" s="122">
        <v>49.1</v>
      </c>
      <c r="Z112" s="122">
        <v>54.7</v>
      </c>
      <c r="AA112" s="122">
        <v>54.1</v>
      </c>
      <c r="AB112" s="122">
        <v>51.6</v>
      </c>
      <c r="AC112" s="122">
        <v>45.8</v>
      </c>
      <c r="AD112" s="122">
        <v>32.9</v>
      </c>
      <c r="AE112" s="122">
        <v>30.3</v>
      </c>
      <c r="AF112" s="122">
        <v>35.9</v>
      </c>
      <c r="AG112" s="121">
        <v>60</v>
      </c>
      <c r="AH112" s="52">
        <f t="shared" si="20"/>
        <v>54.7</v>
      </c>
      <c r="AI112" s="53">
        <f t="shared" si="21"/>
        <v>24.6</v>
      </c>
    </row>
    <row r="113" spans="1:37" x14ac:dyDescent="0.25">
      <c r="A113" s="123" t="s">
        <v>121</v>
      </c>
      <c r="B113" s="124">
        <v>83</v>
      </c>
      <c r="C113" s="124">
        <v>69</v>
      </c>
      <c r="D113" s="124">
        <v>70</v>
      </c>
      <c r="E113" s="124">
        <v>77.8</v>
      </c>
      <c r="F113" s="124">
        <v>78</v>
      </c>
      <c r="G113" s="124">
        <v>83.2</v>
      </c>
      <c r="H113" s="124">
        <v>104.4</v>
      </c>
      <c r="I113" s="124">
        <v>100.5</v>
      </c>
      <c r="J113" s="124">
        <v>107.6</v>
      </c>
      <c r="K113" s="124">
        <v>109.2</v>
      </c>
      <c r="L113" s="124">
        <v>121.5</v>
      </c>
      <c r="M113" s="124">
        <v>119.3</v>
      </c>
      <c r="N113" s="124">
        <v>110.8</v>
      </c>
      <c r="O113" s="124">
        <v>125</v>
      </c>
      <c r="P113" s="124">
        <v>87.5</v>
      </c>
      <c r="Q113" s="124">
        <v>78.5</v>
      </c>
      <c r="R113" s="124">
        <v>78.5</v>
      </c>
      <c r="S113" s="124">
        <v>89</v>
      </c>
      <c r="T113" s="124">
        <v>87.5</v>
      </c>
      <c r="U113" s="124">
        <v>87.5</v>
      </c>
      <c r="V113" s="124">
        <v>76</v>
      </c>
      <c r="W113" s="124">
        <v>87.8</v>
      </c>
      <c r="X113" s="124">
        <v>64.7</v>
      </c>
      <c r="Y113" s="124">
        <v>87</v>
      </c>
      <c r="Z113" s="124">
        <v>104.2</v>
      </c>
      <c r="AA113" s="124">
        <v>105.3</v>
      </c>
      <c r="AB113" s="124">
        <v>84.5</v>
      </c>
      <c r="AC113" s="124">
        <v>77.5</v>
      </c>
      <c r="AD113" s="124">
        <v>100.6</v>
      </c>
      <c r="AE113" s="124">
        <v>81.099999999999994</v>
      </c>
      <c r="AF113" s="124">
        <v>87.5</v>
      </c>
      <c r="AG113" s="125">
        <v>120</v>
      </c>
      <c r="AH113" s="52">
        <f t="shared" si="20"/>
        <v>125</v>
      </c>
      <c r="AI113" s="53">
        <f t="shared" si="21"/>
        <v>64.7</v>
      </c>
    </row>
    <row r="114" spans="1:37" x14ac:dyDescent="0.25">
      <c r="A114" s="123" t="s">
        <v>122</v>
      </c>
      <c r="B114" s="124">
        <v>105</v>
      </c>
      <c r="C114" s="124">
        <v>85</v>
      </c>
      <c r="D114" s="124">
        <v>95</v>
      </c>
      <c r="E114" s="124">
        <v>107.8</v>
      </c>
      <c r="F114" s="124">
        <v>104.1</v>
      </c>
      <c r="G114" s="124">
        <v>106.8</v>
      </c>
      <c r="H114" s="124">
        <v>109.3</v>
      </c>
      <c r="I114" s="124">
        <v>95.5</v>
      </c>
      <c r="J114" s="124">
        <v>100.3</v>
      </c>
      <c r="K114" s="124">
        <v>92</v>
      </c>
      <c r="L114" s="124">
        <v>97.7</v>
      </c>
      <c r="M114" s="124">
        <v>100.2</v>
      </c>
      <c r="N114" s="124">
        <v>90.8</v>
      </c>
      <c r="O114" s="124">
        <v>106</v>
      </c>
      <c r="P114" s="124">
        <v>99.1</v>
      </c>
      <c r="Q114" s="124">
        <v>105.2</v>
      </c>
      <c r="R114" s="124">
        <v>105.2</v>
      </c>
      <c r="S114" s="124">
        <v>112.6</v>
      </c>
      <c r="T114" s="124">
        <v>110.8</v>
      </c>
      <c r="U114" s="124">
        <v>110.8</v>
      </c>
      <c r="V114" s="124">
        <v>88</v>
      </c>
      <c r="W114" s="124">
        <v>84.8</v>
      </c>
      <c r="X114" s="124">
        <v>54.5</v>
      </c>
      <c r="Y114" s="124">
        <v>83</v>
      </c>
      <c r="Z114" s="124">
        <v>108.7</v>
      </c>
      <c r="AA114" s="124">
        <v>87.1</v>
      </c>
      <c r="AB114" s="124">
        <v>91.1</v>
      </c>
      <c r="AC114" s="124">
        <v>102.3</v>
      </c>
      <c r="AD114" s="124">
        <v>93.9</v>
      </c>
      <c r="AE114" s="124">
        <v>89.2</v>
      </c>
      <c r="AF114" s="124">
        <v>105.4</v>
      </c>
      <c r="AG114" s="125"/>
      <c r="AH114" s="52">
        <f t="shared" si="20"/>
        <v>112.6</v>
      </c>
      <c r="AI114" s="53">
        <f t="shared" si="21"/>
        <v>54.5</v>
      </c>
    </row>
    <row r="115" spans="1:37" x14ac:dyDescent="0.25">
      <c r="A115" s="123" t="s">
        <v>123</v>
      </c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6"/>
      <c r="AH115" s="52">
        <f t="shared" si="20"/>
        <v>0</v>
      </c>
      <c r="AI115" s="53">
        <f t="shared" si="21"/>
        <v>0</v>
      </c>
    </row>
    <row r="116" spans="1:37" x14ac:dyDescent="0.25">
      <c r="A116" s="127" t="s">
        <v>124</v>
      </c>
      <c r="B116" s="113">
        <v>-7</v>
      </c>
      <c r="C116" s="113">
        <v>-4</v>
      </c>
      <c r="D116" s="113">
        <v>-2.7</v>
      </c>
      <c r="E116" s="113">
        <v>25</v>
      </c>
      <c r="F116" s="113">
        <v>37.200000000000003</v>
      </c>
      <c r="G116" s="113">
        <v>43.3</v>
      </c>
      <c r="H116" s="113">
        <v>32.6</v>
      </c>
      <c r="I116" s="113">
        <v>28</v>
      </c>
      <c r="J116" s="113">
        <v>23.8</v>
      </c>
      <c r="K116" s="113">
        <v>16.399999999999999</v>
      </c>
      <c r="L116" s="113">
        <v>7.3</v>
      </c>
      <c r="M116" s="113">
        <v>-1.8</v>
      </c>
      <c r="N116" s="113">
        <v>0</v>
      </c>
      <c r="O116" s="113">
        <v>-3.4</v>
      </c>
      <c r="P116" s="113">
        <v>0.6</v>
      </c>
      <c r="Q116" s="113">
        <v>0</v>
      </c>
      <c r="R116" s="113">
        <v>0</v>
      </c>
      <c r="S116" s="113">
        <v>-5.5</v>
      </c>
      <c r="T116" s="113">
        <v>-25.8</v>
      </c>
      <c r="U116" s="113">
        <v>-25.8</v>
      </c>
      <c r="V116" s="113">
        <v>-7.1</v>
      </c>
      <c r="W116" s="113"/>
      <c r="X116" s="113">
        <v>-17.5</v>
      </c>
      <c r="Y116" s="113">
        <v>-31</v>
      </c>
      <c r="Z116" s="113">
        <v>-27.8</v>
      </c>
      <c r="AA116" s="113">
        <v>-19.5</v>
      </c>
      <c r="AB116" s="113">
        <v>-20</v>
      </c>
      <c r="AC116" s="113">
        <v>-19</v>
      </c>
      <c r="AD116" s="113">
        <v>-19.100000000000001</v>
      </c>
      <c r="AE116" s="113">
        <v>-4.9000000000000004</v>
      </c>
      <c r="AF116" s="113">
        <v>-1.9</v>
      </c>
      <c r="AG116" s="126"/>
      <c r="AH116" s="52">
        <f t="shared" si="20"/>
        <v>43.3</v>
      </c>
      <c r="AI116" s="53">
        <f t="shared" si="21"/>
        <v>-31</v>
      </c>
    </row>
    <row r="117" spans="1:37" ht="15.75" thickBot="1" x14ac:dyDescent="0.3">
      <c r="A117" s="127" t="s">
        <v>125</v>
      </c>
      <c r="B117" s="113">
        <v>92</v>
      </c>
      <c r="C117" s="113">
        <v>76</v>
      </c>
      <c r="D117" s="113">
        <v>75</v>
      </c>
      <c r="E117" s="113">
        <v>54.4</v>
      </c>
      <c r="F117" s="113">
        <v>44.2</v>
      </c>
      <c r="G117" s="113">
        <v>37.700000000000003</v>
      </c>
      <c r="H117" s="113">
        <v>43.9</v>
      </c>
      <c r="I117" s="113">
        <v>45.3</v>
      </c>
      <c r="J117" s="113">
        <v>49.5</v>
      </c>
      <c r="K117" s="113">
        <v>61.6</v>
      </c>
      <c r="L117" s="113">
        <v>75.5</v>
      </c>
      <c r="M117" s="113">
        <v>72</v>
      </c>
      <c r="N117" s="113">
        <v>66.5</v>
      </c>
      <c r="O117" s="113">
        <v>75</v>
      </c>
      <c r="P117" s="113">
        <v>90.1</v>
      </c>
      <c r="Q117" s="113">
        <v>84.7</v>
      </c>
      <c r="R117" s="113">
        <v>84.7</v>
      </c>
      <c r="S117" s="113">
        <v>89</v>
      </c>
      <c r="T117" s="113">
        <v>64.5</v>
      </c>
      <c r="U117" s="113">
        <v>64.5</v>
      </c>
      <c r="V117" s="113">
        <v>46</v>
      </c>
      <c r="W117" s="113"/>
      <c r="X117" s="113">
        <v>97.4</v>
      </c>
      <c r="Y117" s="113">
        <v>112.2</v>
      </c>
      <c r="Z117" s="113">
        <v>111.4</v>
      </c>
      <c r="AA117" s="113">
        <v>103.1</v>
      </c>
      <c r="AB117" s="113">
        <v>104</v>
      </c>
      <c r="AC117" s="113">
        <v>103.6</v>
      </c>
      <c r="AD117" s="113">
        <v>106</v>
      </c>
      <c r="AE117" s="113">
        <v>96.9</v>
      </c>
      <c r="AF117" s="113">
        <v>97.6</v>
      </c>
      <c r="AG117" s="126"/>
      <c r="AH117" s="52">
        <f t="shared" si="20"/>
        <v>112.2</v>
      </c>
      <c r="AI117" s="53">
        <f t="shared" si="21"/>
        <v>37.700000000000003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85" t="s">
        <v>269</v>
      </c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29">SUM(B119:B223)</f>
        <v>0</v>
      </c>
      <c r="C224" s="144">
        <f t="shared" si="29"/>
        <v>0</v>
      </c>
      <c r="D224" s="144">
        <f t="shared" si="29"/>
        <v>0</v>
      </c>
      <c r="E224" s="144">
        <f t="shared" si="29"/>
        <v>0</v>
      </c>
      <c r="F224" s="144">
        <f t="shared" si="29"/>
        <v>0</v>
      </c>
      <c r="G224" s="144">
        <f t="shared" si="29"/>
        <v>0</v>
      </c>
      <c r="H224" s="144">
        <f t="shared" si="29"/>
        <v>0</v>
      </c>
      <c r="I224" s="144">
        <f t="shared" si="29"/>
        <v>0</v>
      </c>
      <c r="J224" s="144">
        <f t="shared" si="29"/>
        <v>0</v>
      </c>
      <c r="K224" s="144">
        <f t="shared" si="29"/>
        <v>0</v>
      </c>
      <c r="L224" s="144">
        <f t="shared" si="29"/>
        <v>0</v>
      </c>
      <c r="M224" s="144">
        <f t="shared" si="29"/>
        <v>0</v>
      </c>
      <c r="N224" s="144">
        <f t="shared" si="29"/>
        <v>0</v>
      </c>
      <c r="O224" s="144">
        <f t="shared" si="29"/>
        <v>0</v>
      </c>
      <c r="P224" s="144">
        <f t="shared" si="29"/>
        <v>0</v>
      </c>
      <c r="Q224" s="144">
        <f t="shared" si="29"/>
        <v>0</v>
      </c>
      <c r="R224" s="144">
        <f t="shared" si="29"/>
        <v>0</v>
      </c>
      <c r="S224" s="144">
        <f t="shared" si="29"/>
        <v>0</v>
      </c>
      <c r="T224" s="144">
        <f t="shared" si="29"/>
        <v>0</v>
      </c>
      <c r="U224" s="144">
        <f t="shared" si="29"/>
        <v>0</v>
      </c>
      <c r="V224" s="144">
        <f t="shared" si="29"/>
        <v>0</v>
      </c>
      <c r="W224" s="144">
        <f t="shared" si="29"/>
        <v>0</v>
      </c>
      <c r="X224" s="144">
        <f t="shared" si="29"/>
        <v>0</v>
      </c>
      <c r="Y224" s="144">
        <f t="shared" si="29"/>
        <v>0</v>
      </c>
      <c r="Z224" s="144">
        <f t="shared" si="29"/>
        <v>0</v>
      </c>
      <c r="AA224" s="144">
        <f t="shared" si="29"/>
        <v>0</v>
      </c>
      <c r="AB224" s="144">
        <f t="shared" si="29"/>
        <v>0</v>
      </c>
      <c r="AC224" s="144">
        <f t="shared" si="29"/>
        <v>0</v>
      </c>
      <c r="AD224" s="144">
        <f t="shared" si="29"/>
        <v>0</v>
      </c>
      <c r="AE224" s="144">
        <f t="shared" si="29"/>
        <v>0</v>
      </c>
      <c r="AF224" s="145">
        <f t="shared" si="29"/>
        <v>0</v>
      </c>
      <c r="AG224" s="146">
        <f t="shared" si="29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30">AF226</f>
        <v>0</v>
      </c>
      <c r="C226" s="149">
        <v>0.3</v>
      </c>
      <c r="D226" s="149">
        <f t="shared" ref="D226:P231" si="31">C226</f>
        <v>0.3</v>
      </c>
      <c r="E226" s="149">
        <f t="shared" si="31"/>
        <v>0.3</v>
      </c>
      <c r="F226" s="149">
        <f t="shared" si="31"/>
        <v>0.3</v>
      </c>
      <c r="G226" s="149">
        <f t="shared" si="31"/>
        <v>0.3</v>
      </c>
      <c r="H226" s="149">
        <f t="shared" si="31"/>
        <v>0.3</v>
      </c>
      <c r="I226" s="149">
        <f t="shared" si="31"/>
        <v>0.3</v>
      </c>
      <c r="J226" s="149">
        <f t="shared" si="31"/>
        <v>0.3</v>
      </c>
      <c r="K226" s="149">
        <f t="shared" si="31"/>
        <v>0.3</v>
      </c>
      <c r="L226" s="149">
        <f t="shared" si="31"/>
        <v>0.3</v>
      </c>
      <c r="M226" s="149">
        <f t="shared" si="31"/>
        <v>0.3</v>
      </c>
      <c r="N226" s="149">
        <f t="shared" si="31"/>
        <v>0.3</v>
      </c>
      <c r="O226" s="149">
        <f t="shared" si="31"/>
        <v>0.3</v>
      </c>
      <c r="P226" s="149">
        <f t="shared" si="31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30"/>
        <v>0</v>
      </c>
      <c r="C227" s="136">
        <v>0.4</v>
      </c>
      <c r="D227" s="136">
        <f t="shared" si="31"/>
        <v>0.4</v>
      </c>
      <c r="E227" s="136">
        <f t="shared" si="31"/>
        <v>0.4</v>
      </c>
      <c r="F227" s="136">
        <f t="shared" si="31"/>
        <v>0.4</v>
      </c>
      <c r="G227" s="136">
        <f t="shared" si="31"/>
        <v>0.4</v>
      </c>
      <c r="H227" s="136">
        <f t="shared" si="31"/>
        <v>0.4</v>
      </c>
      <c r="I227" s="136">
        <f t="shared" si="31"/>
        <v>0.4</v>
      </c>
      <c r="J227" s="136">
        <f t="shared" si="31"/>
        <v>0.4</v>
      </c>
      <c r="K227" s="136">
        <f t="shared" si="31"/>
        <v>0.4</v>
      </c>
      <c r="L227" s="136">
        <f t="shared" si="31"/>
        <v>0.4</v>
      </c>
      <c r="M227" s="136">
        <f t="shared" si="31"/>
        <v>0.4</v>
      </c>
      <c r="N227" s="136">
        <f t="shared" si="31"/>
        <v>0.4</v>
      </c>
      <c r="O227" s="136">
        <f t="shared" si="31"/>
        <v>0.4</v>
      </c>
      <c r="P227" s="136">
        <f t="shared" si="31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30"/>
        <v>0</v>
      </c>
      <c r="C228" s="136">
        <v>1.5</v>
      </c>
      <c r="D228" s="136">
        <f t="shared" si="31"/>
        <v>1.5</v>
      </c>
      <c r="E228" s="136">
        <f t="shared" si="31"/>
        <v>1.5</v>
      </c>
      <c r="F228" s="136">
        <f t="shared" si="31"/>
        <v>1.5</v>
      </c>
      <c r="G228" s="136">
        <f t="shared" si="31"/>
        <v>1.5</v>
      </c>
      <c r="H228" s="136">
        <f t="shared" si="31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31"/>
        <v>1.5</v>
      </c>
      <c r="K228" s="136">
        <f t="shared" ca="1" si="31"/>
        <v>1.5</v>
      </c>
      <c r="L228" s="136">
        <f t="shared" ca="1" si="31"/>
        <v>1.5</v>
      </c>
      <c r="M228" s="136">
        <f t="shared" ca="1" si="31"/>
        <v>1.5</v>
      </c>
      <c r="N228" s="136">
        <f t="shared" ca="1" si="31"/>
        <v>1.5</v>
      </c>
      <c r="O228" s="136">
        <f t="shared" ca="1" si="31"/>
        <v>1.5</v>
      </c>
      <c r="P228" s="136">
        <f t="shared" ca="1" si="31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30"/>
        <v>0</v>
      </c>
      <c r="C229" s="136">
        <v>0.3</v>
      </c>
      <c r="D229" s="136">
        <f t="shared" si="31"/>
        <v>0.3</v>
      </c>
      <c r="E229" s="136">
        <f t="shared" si="31"/>
        <v>0.3</v>
      </c>
      <c r="F229" s="136">
        <f t="shared" si="31"/>
        <v>0.3</v>
      </c>
      <c r="G229" s="136">
        <f t="shared" si="31"/>
        <v>0.3</v>
      </c>
      <c r="H229" s="136">
        <f t="shared" si="31"/>
        <v>0.3</v>
      </c>
      <c r="I229" s="136">
        <f t="shared" si="31"/>
        <v>0.3</v>
      </c>
      <c r="J229" s="136">
        <f t="shared" si="31"/>
        <v>0.3</v>
      </c>
      <c r="K229" s="136">
        <f t="shared" si="31"/>
        <v>0.3</v>
      </c>
      <c r="L229" s="136">
        <f t="shared" si="31"/>
        <v>0.3</v>
      </c>
      <c r="M229" s="136">
        <f t="shared" si="31"/>
        <v>0.3</v>
      </c>
      <c r="N229" s="136">
        <f t="shared" si="31"/>
        <v>0.3</v>
      </c>
      <c r="O229" s="136">
        <f t="shared" si="31"/>
        <v>0.3</v>
      </c>
      <c r="P229" s="136">
        <f t="shared" si="31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30"/>
        <v>0</v>
      </c>
      <c r="C230" s="136">
        <v>0.4</v>
      </c>
      <c r="D230" s="136">
        <f t="shared" si="31"/>
        <v>0.4</v>
      </c>
      <c r="E230" s="136">
        <f t="shared" si="31"/>
        <v>0.4</v>
      </c>
      <c r="F230" s="136">
        <f t="shared" si="31"/>
        <v>0.4</v>
      </c>
      <c r="G230" s="136">
        <f t="shared" si="31"/>
        <v>0.4</v>
      </c>
      <c r="H230" s="136">
        <f t="shared" si="31"/>
        <v>0.4</v>
      </c>
      <c r="I230" s="136">
        <f t="shared" si="31"/>
        <v>0.4</v>
      </c>
      <c r="J230" s="136">
        <f t="shared" si="31"/>
        <v>0.4</v>
      </c>
      <c r="K230" s="136">
        <f t="shared" si="31"/>
        <v>0.4</v>
      </c>
      <c r="L230" s="136">
        <f t="shared" si="31"/>
        <v>0.4</v>
      </c>
      <c r="M230" s="136">
        <f t="shared" si="31"/>
        <v>0.4</v>
      </c>
      <c r="N230" s="136">
        <f t="shared" si="31"/>
        <v>0.4</v>
      </c>
      <c r="O230" s="136">
        <f t="shared" si="31"/>
        <v>0.4</v>
      </c>
      <c r="P230" s="136">
        <f t="shared" si="31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30"/>
        <v>0</v>
      </c>
      <c r="C231" s="140">
        <v>0.64</v>
      </c>
      <c r="D231" s="140">
        <f t="shared" si="31"/>
        <v>0.64</v>
      </c>
      <c r="E231" s="140">
        <f t="shared" si="31"/>
        <v>0.64</v>
      </c>
      <c r="F231" s="140">
        <f t="shared" si="31"/>
        <v>0.64</v>
      </c>
      <c r="G231" s="140">
        <f t="shared" si="31"/>
        <v>0.64</v>
      </c>
      <c r="H231" s="140">
        <f t="shared" si="31"/>
        <v>0.64</v>
      </c>
      <c r="I231" s="140">
        <f t="shared" si="31"/>
        <v>0.64</v>
      </c>
      <c r="J231" s="140">
        <f t="shared" si="31"/>
        <v>0.64</v>
      </c>
      <c r="K231" s="140">
        <f t="shared" si="31"/>
        <v>0.64</v>
      </c>
      <c r="L231" s="140">
        <f t="shared" si="31"/>
        <v>0.64</v>
      </c>
      <c r="M231" s="140">
        <f t="shared" si="31"/>
        <v>0.64</v>
      </c>
      <c r="N231" s="140">
        <f t="shared" si="31"/>
        <v>0.64</v>
      </c>
      <c r="O231" s="140">
        <f t="shared" si="31"/>
        <v>0.64</v>
      </c>
      <c r="P231" s="140">
        <f t="shared" si="31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32">SUM(B226:B231)</f>
        <v>0</v>
      </c>
      <c r="C232" s="144">
        <f t="shared" si="32"/>
        <v>3.54</v>
      </c>
      <c r="D232" s="144">
        <f t="shared" si="32"/>
        <v>3.54</v>
      </c>
      <c r="E232" s="144">
        <f t="shared" si="32"/>
        <v>3.54</v>
      </c>
      <c r="F232" s="144">
        <f t="shared" si="32"/>
        <v>3.54</v>
      </c>
      <c r="G232" s="144">
        <f t="shared" si="32"/>
        <v>3.54</v>
      </c>
      <c r="H232" s="144">
        <f t="shared" si="32"/>
        <v>3.54</v>
      </c>
      <c r="I232" s="144">
        <f t="shared" ca="1" si="32"/>
        <v>3.54</v>
      </c>
      <c r="J232" s="144">
        <f t="shared" ca="1" si="32"/>
        <v>3.54</v>
      </c>
      <c r="K232" s="144">
        <f t="shared" ca="1" si="32"/>
        <v>3.54</v>
      </c>
      <c r="L232" s="144">
        <f t="shared" ca="1" si="32"/>
        <v>3.54</v>
      </c>
      <c r="M232" s="144">
        <f t="shared" ca="1" si="32"/>
        <v>3.54</v>
      </c>
      <c r="N232" s="144">
        <f t="shared" ca="1" si="32"/>
        <v>3.54</v>
      </c>
      <c r="O232" s="144">
        <f t="shared" ca="1" si="32"/>
        <v>3.54</v>
      </c>
      <c r="P232" s="144">
        <f t="shared" ca="1" si="32"/>
        <v>3.54</v>
      </c>
      <c r="Q232" s="144">
        <f t="shared" si="32"/>
        <v>0</v>
      </c>
      <c r="R232" s="144">
        <f t="shared" si="32"/>
        <v>0</v>
      </c>
      <c r="S232" s="144">
        <f t="shared" si="32"/>
        <v>0</v>
      </c>
      <c r="T232" s="144">
        <f t="shared" si="32"/>
        <v>0</v>
      </c>
      <c r="U232" s="144">
        <f t="shared" si="32"/>
        <v>0</v>
      </c>
      <c r="V232" s="144">
        <f t="shared" si="32"/>
        <v>0</v>
      </c>
      <c r="W232" s="144">
        <f t="shared" si="32"/>
        <v>0</v>
      </c>
      <c r="X232" s="144">
        <f t="shared" si="32"/>
        <v>0</v>
      </c>
      <c r="Y232" s="144">
        <f t="shared" si="32"/>
        <v>0</v>
      </c>
      <c r="Z232" s="144">
        <f t="shared" si="32"/>
        <v>0</v>
      </c>
      <c r="AA232" s="144">
        <f t="shared" si="32"/>
        <v>0</v>
      </c>
      <c r="AB232" s="144">
        <f t="shared" si="32"/>
        <v>0</v>
      </c>
      <c r="AC232" s="144">
        <f t="shared" si="32"/>
        <v>0</v>
      </c>
      <c r="AD232" s="144">
        <f t="shared" si="32"/>
        <v>0</v>
      </c>
      <c r="AE232" s="144">
        <f t="shared" si="32"/>
        <v>0</v>
      </c>
      <c r="AF232" s="144">
        <f t="shared" si="32"/>
        <v>0</v>
      </c>
      <c r="AG232" s="154">
        <f t="shared" si="32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1370.94</v>
      </c>
      <c r="C241" s="170">
        <f>INDEX(G9:N9,1,MATCH(MAX(G89:N89),G89:N89,0))</f>
        <v>0.375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9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2079/12/9)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2079/12/9)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33">B89</f>
        <v>1392.54</v>
      </c>
      <c r="U246" s="180">
        <f t="shared" si="33"/>
        <v>1419.54</v>
      </c>
      <c r="V246" s="180">
        <f t="shared" si="33"/>
        <v>1263.54</v>
      </c>
      <c r="W246" s="180">
        <f t="shared" si="33"/>
        <v>1228.7399999999998</v>
      </c>
      <c r="X246" s="180">
        <f t="shared" si="33"/>
        <v>1228.7400000000002</v>
      </c>
      <c r="Y246" s="180">
        <f t="shared" si="33"/>
        <v>1229.8399999999999</v>
      </c>
      <c r="Z246" s="180">
        <f t="shared" si="33"/>
        <v>1246.04</v>
      </c>
      <c r="AA246" s="180">
        <f t="shared" si="33"/>
        <v>1229.3399999999999</v>
      </c>
      <c r="AB246" s="180">
        <f t="shared" si="33"/>
        <v>1347.74</v>
      </c>
      <c r="AC246" s="180">
        <f t="shared" si="33"/>
        <v>1279.1400000000001</v>
      </c>
      <c r="AD246" s="180">
        <f t="shared" si="33"/>
        <v>1348.1399999999999</v>
      </c>
      <c r="AE246" s="180">
        <f t="shared" si="33"/>
        <v>1367.1399999999999</v>
      </c>
      <c r="AF246" s="180">
        <f t="shared" si="33"/>
        <v>1370.94</v>
      </c>
      <c r="AG246" s="180">
        <f t="shared" si="33"/>
        <v>1286.04</v>
      </c>
      <c r="AH246" s="180">
        <f t="shared" si="33"/>
        <v>1304.6399999999999</v>
      </c>
      <c r="AI246" s="180">
        <f t="shared" si="33"/>
        <v>1321.74</v>
      </c>
      <c r="AJ246" s="180">
        <f t="shared" si="33"/>
        <v>1336.74</v>
      </c>
      <c r="AK246" s="180">
        <f t="shared" si="33"/>
        <v>1431.3400000000001</v>
      </c>
      <c r="AL246" s="180">
        <f t="shared" si="33"/>
        <v>1389.14</v>
      </c>
      <c r="AM246" s="180">
        <f t="shared" si="33"/>
        <v>1350.1399999999999</v>
      </c>
      <c r="AN246" s="180">
        <f t="shared" si="33"/>
        <v>1349.1399999999999</v>
      </c>
      <c r="AO246" s="180">
        <f t="shared" si="33"/>
        <v>1551.74</v>
      </c>
      <c r="AP246" s="180">
        <f t="shared" si="33"/>
        <v>1492.54</v>
      </c>
      <c r="AQ246" s="180">
        <f t="shared" si="33"/>
        <v>1559.54</v>
      </c>
      <c r="AR246" s="180">
        <f t="shared" si="33"/>
        <v>1698.1399999999999</v>
      </c>
      <c r="AS246" s="180">
        <f t="shared" si="33"/>
        <v>1634.84</v>
      </c>
      <c r="AT246" s="180">
        <f t="shared" si="33"/>
        <v>1587.94</v>
      </c>
      <c r="AU246" s="180">
        <f t="shared" si="33"/>
        <v>1604.6399999999999</v>
      </c>
      <c r="AV246" s="180">
        <f t="shared" si="33"/>
        <v>1587.7399999999998</v>
      </c>
      <c r="AW246" s="180">
        <f t="shared" si="33"/>
        <v>1463.54</v>
      </c>
      <c r="AX246" s="180">
        <f t="shared" si="33"/>
        <v>1469.04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34">C231</f>
        <v>0.64</v>
      </c>
      <c r="C267" s="183">
        <f t="shared" si="34"/>
        <v>0.64</v>
      </c>
      <c r="D267" s="183">
        <f t="shared" si="34"/>
        <v>0.64</v>
      </c>
      <c r="E267" s="183">
        <f t="shared" si="34"/>
        <v>0.64</v>
      </c>
      <c r="F267" s="183">
        <f t="shared" si="34"/>
        <v>0.64</v>
      </c>
      <c r="G267" s="183">
        <f t="shared" si="34"/>
        <v>0.64</v>
      </c>
      <c r="H267" s="183">
        <f t="shared" si="34"/>
        <v>0.64</v>
      </c>
      <c r="I267" s="183">
        <f t="shared" si="34"/>
        <v>0.64</v>
      </c>
      <c r="J267" s="183">
        <f t="shared" si="34"/>
        <v>0.64</v>
      </c>
      <c r="K267" s="183">
        <f t="shared" si="34"/>
        <v>0.64</v>
      </c>
      <c r="L267" s="183">
        <f t="shared" si="34"/>
        <v>0.64</v>
      </c>
      <c r="M267" s="183">
        <f t="shared" si="34"/>
        <v>0.64</v>
      </c>
      <c r="N267" s="183">
        <f t="shared" si="34"/>
        <v>0.64</v>
      </c>
      <c r="O267" s="183">
        <f t="shared" si="34"/>
        <v>0.64</v>
      </c>
      <c r="P267" s="183">
        <f t="shared" si="34"/>
        <v>0</v>
      </c>
      <c r="Q267" s="183">
        <f t="shared" si="34"/>
        <v>0</v>
      </c>
      <c r="R267" s="183">
        <f t="shared" si="34"/>
        <v>0</v>
      </c>
      <c r="S267" s="183">
        <f t="shared" si="34"/>
        <v>0</v>
      </c>
      <c r="T267" s="183">
        <f t="shared" si="34"/>
        <v>0</v>
      </c>
      <c r="U267" s="183">
        <f t="shared" si="34"/>
        <v>0</v>
      </c>
      <c r="V267" s="183">
        <f t="shared" si="34"/>
        <v>0</v>
      </c>
      <c r="W267" s="183">
        <f t="shared" si="34"/>
        <v>0</v>
      </c>
      <c r="X267" s="183">
        <f t="shared" si="34"/>
        <v>0</v>
      </c>
      <c r="Y267" s="183">
        <f t="shared" si="34"/>
        <v>0</v>
      </c>
      <c r="Z267" s="183">
        <f t="shared" si="34"/>
        <v>0</v>
      </c>
      <c r="AA267" s="183">
        <f t="shared" si="34"/>
        <v>0</v>
      </c>
      <c r="AB267" s="183">
        <f t="shared" si="34"/>
        <v>0</v>
      </c>
      <c r="AC267" s="183">
        <f t="shared" si="34"/>
        <v>0</v>
      </c>
      <c r="AD267" s="183">
        <f t="shared" si="34"/>
        <v>0</v>
      </c>
      <c r="AE267" s="183">
        <f t="shared" si="34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35">IF(B235&lt;100,"",B235-520)</f>
        <v/>
      </c>
      <c r="C268" s="184" t="str">
        <f t="shared" si="35"/>
        <v/>
      </c>
      <c r="D268" s="184" t="str">
        <f t="shared" si="35"/>
        <v/>
      </c>
      <c r="E268" s="184" t="str">
        <f t="shared" si="35"/>
        <v/>
      </c>
      <c r="F268" s="184" t="str">
        <f t="shared" si="35"/>
        <v/>
      </c>
      <c r="G268" s="184" t="str">
        <f t="shared" si="35"/>
        <v/>
      </c>
      <c r="H268" s="184" t="str">
        <f t="shared" si="35"/>
        <v/>
      </c>
      <c r="I268" s="184" t="str">
        <f t="shared" si="35"/>
        <v/>
      </c>
      <c r="J268" s="184" t="str">
        <f t="shared" si="35"/>
        <v/>
      </c>
      <c r="K268" s="184" t="str">
        <f t="shared" si="35"/>
        <v/>
      </c>
      <c r="L268" s="184" t="str">
        <f t="shared" si="35"/>
        <v/>
      </c>
      <c r="M268" s="184" t="str">
        <f t="shared" si="35"/>
        <v/>
      </c>
      <c r="N268" s="184" t="str">
        <f t="shared" si="35"/>
        <v/>
      </c>
      <c r="O268" s="184" t="str">
        <f t="shared" si="35"/>
        <v/>
      </c>
      <c r="P268" s="184" t="str">
        <f t="shared" si="35"/>
        <v/>
      </c>
      <c r="Q268" s="184" t="str">
        <f t="shared" si="35"/>
        <v/>
      </c>
      <c r="R268" s="184" t="str">
        <f t="shared" si="35"/>
        <v/>
      </c>
      <c r="S268" s="184" t="str">
        <f t="shared" si="35"/>
        <v/>
      </c>
      <c r="T268" s="184" t="str">
        <f t="shared" si="35"/>
        <v/>
      </c>
      <c r="U268" s="184" t="str">
        <f t="shared" si="35"/>
        <v/>
      </c>
      <c r="V268" s="184" t="str">
        <f t="shared" si="35"/>
        <v/>
      </c>
      <c r="W268" s="184" t="str">
        <f t="shared" si="35"/>
        <v/>
      </c>
      <c r="X268" s="184" t="str">
        <f t="shared" si="35"/>
        <v/>
      </c>
      <c r="Y268" s="184" t="str">
        <f t="shared" si="35"/>
        <v/>
      </c>
      <c r="Z268" s="184" t="str">
        <f t="shared" si="35"/>
        <v/>
      </c>
      <c r="AA268" s="184" t="str">
        <f t="shared" si="35"/>
        <v/>
      </c>
      <c r="AB268" s="184" t="str">
        <f t="shared" si="35"/>
        <v/>
      </c>
      <c r="AC268" s="184" t="str">
        <f t="shared" si="35"/>
        <v/>
      </c>
      <c r="AD268" s="184" t="str">
        <f t="shared" si="35"/>
        <v/>
      </c>
      <c r="AE268" s="184" t="str">
        <f t="shared" si="35"/>
        <v/>
      </c>
      <c r="AF268" s="184" t="str">
        <f t="shared" si="35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36">IF(B236&lt;100,"",B236-620)</f>
        <v/>
      </c>
      <c r="C269" s="184" t="str">
        <f t="shared" si="36"/>
        <v/>
      </c>
      <c r="D269" s="184" t="str">
        <f t="shared" si="36"/>
        <v/>
      </c>
      <c r="E269" s="184" t="str">
        <f t="shared" si="36"/>
        <v/>
      </c>
      <c r="F269" s="184" t="str">
        <f t="shared" si="36"/>
        <v/>
      </c>
      <c r="G269" s="184" t="str">
        <f t="shared" si="36"/>
        <v/>
      </c>
      <c r="H269" s="184" t="str">
        <f t="shared" si="36"/>
        <v/>
      </c>
      <c r="I269" s="184" t="str">
        <f t="shared" si="36"/>
        <v/>
      </c>
      <c r="J269" s="184" t="str">
        <f t="shared" si="36"/>
        <v/>
      </c>
      <c r="K269" s="184" t="str">
        <f t="shared" si="36"/>
        <v/>
      </c>
      <c r="L269" s="184" t="str">
        <f t="shared" si="36"/>
        <v/>
      </c>
      <c r="M269" s="184" t="str">
        <f t="shared" si="36"/>
        <v/>
      </c>
      <c r="N269" s="184" t="str">
        <f t="shared" si="36"/>
        <v/>
      </c>
      <c r="O269" s="184" t="str">
        <f t="shared" si="36"/>
        <v/>
      </c>
      <c r="P269" s="184" t="str">
        <f t="shared" si="36"/>
        <v/>
      </c>
      <c r="Q269" s="184" t="str">
        <f t="shared" si="36"/>
        <v/>
      </c>
      <c r="R269" s="184" t="str">
        <f t="shared" si="36"/>
        <v/>
      </c>
      <c r="S269" s="184" t="str">
        <f t="shared" si="36"/>
        <v/>
      </c>
      <c r="T269" s="184" t="str">
        <f t="shared" si="36"/>
        <v/>
      </c>
      <c r="U269" s="184" t="str">
        <f t="shared" si="36"/>
        <v/>
      </c>
      <c r="V269" s="184" t="str">
        <f t="shared" si="36"/>
        <v/>
      </c>
      <c r="W269" s="184" t="str">
        <f t="shared" si="36"/>
        <v/>
      </c>
      <c r="X269" s="184" t="str">
        <f t="shared" si="36"/>
        <v/>
      </c>
      <c r="Y269" s="184" t="str">
        <f t="shared" si="36"/>
        <v/>
      </c>
      <c r="Z269" s="184" t="str">
        <f t="shared" si="36"/>
        <v/>
      </c>
      <c r="AA269" s="184" t="str">
        <f t="shared" si="36"/>
        <v/>
      </c>
      <c r="AB269" s="184" t="str">
        <f t="shared" si="36"/>
        <v/>
      </c>
      <c r="AC269" s="184" t="str">
        <f t="shared" si="36"/>
        <v/>
      </c>
      <c r="AD269" s="184" t="str">
        <f t="shared" si="36"/>
        <v/>
      </c>
      <c r="AE269" s="184" t="str">
        <f t="shared" si="36"/>
        <v/>
      </c>
      <c r="AF269" s="184" t="str">
        <f t="shared" si="36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37">IF(B237&lt;100,"",B237-330)</f>
        <v/>
      </c>
      <c r="C270" s="184" t="str">
        <f t="shared" si="37"/>
        <v/>
      </c>
      <c r="D270" s="184" t="str">
        <f t="shared" si="37"/>
        <v/>
      </c>
      <c r="E270" s="184" t="str">
        <f t="shared" si="37"/>
        <v/>
      </c>
      <c r="F270" s="184" t="str">
        <f t="shared" si="37"/>
        <v/>
      </c>
      <c r="G270" s="184" t="str">
        <f t="shared" si="37"/>
        <v/>
      </c>
      <c r="H270" s="184" t="str">
        <f t="shared" si="37"/>
        <v/>
      </c>
      <c r="I270" s="184" t="str">
        <f t="shared" si="37"/>
        <v/>
      </c>
      <c r="J270" s="184" t="str">
        <f t="shared" si="37"/>
        <v/>
      </c>
      <c r="K270" s="184" t="str">
        <f t="shared" si="37"/>
        <v/>
      </c>
      <c r="L270" s="184" t="str">
        <f t="shared" si="37"/>
        <v/>
      </c>
      <c r="M270" s="184" t="str">
        <f t="shared" si="37"/>
        <v/>
      </c>
      <c r="N270" s="184" t="str">
        <f t="shared" si="37"/>
        <v/>
      </c>
      <c r="O270" s="184" t="str">
        <f t="shared" si="37"/>
        <v/>
      </c>
      <c r="P270" s="184" t="str">
        <f t="shared" si="37"/>
        <v/>
      </c>
      <c r="Q270" s="184" t="str">
        <f t="shared" si="37"/>
        <v/>
      </c>
      <c r="R270" s="184" t="str">
        <f t="shared" si="37"/>
        <v/>
      </c>
      <c r="S270" s="184" t="str">
        <f t="shared" si="37"/>
        <v/>
      </c>
      <c r="T270" s="184" t="str">
        <f t="shared" si="37"/>
        <v/>
      </c>
      <c r="U270" s="184" t="str">
        <f t="shared" si="37"/>
        <v/>
      </c>
      <c r="V270" s="184" t="str">
        <f t="shared" si="37"/>
        <v/>
      </c>
      <c r="W270" s="184" t="str">
        <f t="shared" si="37"/>
        <v/>
      </c>
      <c r="X270" s="184" t="str">
        <f t="shared" si="37"/>
        <v/>
      </c>
      <c r="Y270" s="184" t="str">
        <f t="shared" si="37"/>
        <v/>
      </c>
      <c r="Z270" s="184" t="str">
        <f t="shared" si="37"/>
        <v/>
      </c>
      <c r="AA270" s="184" t="str">
        <f t="shared" si="37"/>
        <v/>
      </c>
      <c r="AB270" s="184" t="str">
        <f t="shared" si="37"/>
        <v/>
      </c>
      <c r="AC270" s="184" t="str">
        <f t="shared" si="37"/>
        <v/>
      </c>
      <c r="AD270" s="184" t="str">
        <f t="shared" si="37"/>
        <v/>
      </c>
      <c r="AE270" s="184" t="str">
        <f t="shared" si="37"/>
        <v/>
      </c>
      <c r="AF270" s="184" t="str">
        <f t="shared" si="37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38">IF(B238&lt;100,"",B238-1500)</f>
        <v/>
      </c>
      <c r="C271" s="184" t="str">
        <f t="shared" si="38"/>
        <v/>
      </c>
      <c r="D271" s="184" t="str">
        <f t="shared" si="38"/>
        <v/>
      </c>
      <c r="E271" s="184" t="str">
        <f t="shared" si="38"/>
        <v/>
      </c>
      <c r="F271" s="184" t="str">
        <f t="shared" si="38"/>
        <v/>
      </c>
      <c r="G271" s="184" t="str">
        <f t="shared" si="38"/>
        <v/>
      </c>
      <c r="H271" s="184" t="str">
        <f t="shared" si="38"/>
        <v/>
      </c>
      <c r="I271" s="184" t="str">
        <f t="shared" si="38"/>
        <v/>
      </c>
      <c r="J271" s="184" t="str">
        <f t="shared" si="38"/>
        <v/>
      </c>
      <c r="K271" s="184" t="str">
        <f t="shared" si="38"/>
        <v/>
      </c>
      <c r="L271" s="184" t="str">
        <f t="shared" si="38"/>
        <v/>
      </c>
      <c r="M271" s="184" t="str">
        <f t="shared" si="38"/>
        <v/>
      </c>
      <c r="N271" s="184" t="str">
        <f t="shared" si="38"/>
        <v/>
      </c>
      <c r="O271" s="184" t="str">
        <f t="shared" si="38"/>
        <v/>
      </c>
      <c r="P271" s="184" t="str">
        <f t="shared" si="38"/>
        <v/>
      </c>
      <c r="Q271" s="184" t="str">
        <f t="shared" si="38"/>
        <v/>
      </c>
      <c r="R271" s="184" t="str">
        <f t="shared" si="38"/>
        <v/>
      </c>
      <c r="S271" s="184" t="str">
        <f t="shared" si="38"/>
        <v/>
      </c>
      <c r="T271" s="184" t="str">
        <f t="shared" si="38"/>
        <v/>
      </c>
      <c r="U271" s="184" t="str">
        <f t="shared" si="38"/>
        <v/>
      </c>
      <c r="V271" s="184" t="str">
        <f t="shared" si="38"/>
        <v/>
      </c>
      <c r="W271" s="184" t="str">
        <f t="shared" si="38"/>
        <v/>
      </c>
      <c r="X271" s="184" t="str">
        <f t="shared" si="38"/>
        <v/>
      </c>
      <c r="Y271" s="184" t="str">
        <f t="shared" si="38"/>
        <v/>
      </c>
      <c r="Z271" s="184" t="str">
        <f t="shared" si="38"/>
        <v/>
      </c>
      <c r="AA271" s="184" t="str">
        <f t="shared" si="38"/>
        <v/>
      </c>
      <c r="AB271" s="184" t="str">
        <f t="shared" si="38"/>
        <v/>
      </c>
      <c r="AC271" s="184" t="str">
        <f t="shared" si="38"/>
        <v/>
      </c>
      <c r="AD271" s="184" t="str">
        <f t="shared" si="38"/>
        <v/>
      </c>
      <c r="AE271" s="184" t="str">
        <f t="shared" si="38"/>
        <v/>
      </c>
      <c r="AF271" s="184" t="str">
        <f t="shared" si="38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6891" priority="339">
      <formula>B$9&gt;=20/24</formula>
    </cfRule>
    <cfRule type="expression" dxfId="6890" priority="340">
      <formula>AND(B$9&gt;=14/24,B$9&lt;20/24)</formula>
    </cfRule>
    <cfRule type="expression" dxfId="6889" priority="341">
      <formula>AND(B$9&gt;=8/24,B$9&lt;14/24)</formula>
    </cfRule>
    <cfRule type="expression" dxfId="6888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6887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6886" priority="336">
      <formula>$AH12=0</formula>
    </cfRule>
  </conditionalFormatting>
  <conditionalFormatting sqref="A114">
    <cfRule type="expression" dxfId="6885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6884" priority="333">
      <formula>$AH45=0</formula>
    </cfRule>
  </conditionalFormatting>
  <conditionalFormatting sqref="A98">
    <cfRule type="expression" dxfId="6883" priority="332">
      <formula>$AH98=0</formula>
    </cfRule>
  </conditionalFormatting>
  <conditionalFormatting sqref="A18">
    <cfRule type="expression" dxfId="6882" priority="331">
      <formula>$AH18=0</formula>
    </cfRule>
  </conditionalFormatting>
  <conditionalFormatting sqref="A196:A201">
    <cfRule type="expression" dxfId="6881" priority="330">
      <formula>$AH196=0</formula>
    </cfRule>
  </conditionalFormatting>
  <conditionalFormatting sqref="A190:A195">
    <cfRule type="expression" dxfId="6880" priority="329">
      <formula>$AH190=0</formula>
    </cfRule>
  </conditionalFormatting>
  <conditionalFormatting sqref="A58">
    <cfRule type="expression" dxfId="6879" priority="328">
      <formula>$AH58=0</formula>
    </cfRule>
  </conditionalFormatting>
  <conditionalFormatting sqref="A94">
    <cfRule type="expression" dxfId="6878" priority="327">
      <formula>$AH94=0</formula>
    </cfRule>
  </conditionalFormatting>
  <conditionalFormatting sqref="AD99:AF99 E99:X99">
    <cfRule type="expression" dxfId="6877" priority="323">
      <formula>E$9&gt;=20/24</formula>
    </cfRule>
    <cfRule type="expression" dxfId="6876" priority="324">
      <formula>AND(E$9&gt;=14/24,E$9&lt;20/24)</formula>
    </cfRule>
    <cfRule type="expression" dxfId="6875" priority="325">
      <formula>AND(E$9&gt;=8/24,E$9&lt;14/24)</formula>
    </cfRule>
    <cfRule type="expression" dxfId="6874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873" priority="345">
      <formula>C$9&gt;=20/24</formula>
    </cfRule>
    <cfRule type="expression" dxfId="6872" priority="346">
      <formula>AND(C$9&gt;=14/24,C$9&lt;20/24)</formula>
    </cfRule>
    <cfRule type="expression" dxfId="6871" priority="347">
      <formula>AND(C$9&gt;=8/24,C$9&lt;14/24)</formula>
    </cfRule>
    <cfRule type="expression" dxfId="6870" priority="348">
      <formula>C$9&lt;8/24</formula>
    </cfRule>
  </conditionalFormatting>
  <conditionalFormatting sqref="A233">
    <cfRule type="expression" dxfId="6869" priority="349">
      <formula>$AH233=0</formula>
    </cfRule>
  </conditionalFormatting>
  <conditionalFormatting sqref="AG245">
    <cfRule type="expression" dxfId="6868" priority="350">
      <formula>B$9&gt;=20/24</formula>
    </cfRule>
    <cfRule type="expression" dxfId="6867" priority="351">
      <formula>AND(B$9&gt;=14/24,B$9&lt;20/24)</formula>
    </cfRule>
    <cfRule type="expression" dxfId="6866" priority="352">
      <formula>AND(B$9&gt;=8/24,B$9&lt;14/24)</formula>
    </cfRule>
    <cfRule type="expression" dxfId="6865" priority="353">
      <formula>B$9&lt;8/24</formula>
    </cfRule>
  </conditionalFormatting>
  <conditionalFormatting sqref="S8">
    <cfRule type="expression" dxfId="6864" priority="318">
      <formula>U$9&gt;=20/24</formula>
    </cfRule>
    <cfRule type="expression" dxfId="6863" priority="319">
      <formula>AND(U$9&gt;=14/24,U$9&lt;20/24)</formula>
    </cfRule>
    <cfRule type="expression" dxfId="6862" priority="320">
      <formula>AND(U$9&gt;=8/24,U$9&lt;14/24)</formula>
    </cfRule>
    <cfRule type="expression" dxfId="6861" priority="321">
      <formula>U$9&lt;8/24</formula>
    </cfRule>
  </conditionalFormatting>
  <conditionalFormatting sqref="AB8">
    <cfRule type="expression" dxfId="6860" priority="314">
      <formula>AD$9&gt;=20/24</formula>
    </cfRule>
    <cfRule type="expression" dxfId="6859" priority="315">
      <formula>AND(AD$9&gt;=14/24,AD$9&lt;20/24)</formula>
    </cfRule>
    <cfRule type="expression" dxfId="6858" priority="316">
      <formula>AND(AD$9&gt;=8/24,AD$9&lt;14/24)</formula>
    </cfRule>
    <cfRule type="expression" dxfId="6857" priority="317">
      <formula>AD$9&lt;8/24</formula>
    </cfRule>
  </conditionalFormatting>
  <conditionalFormatting sqref="AH245:AX245">
    <cfRule type="expression" dxfId="6856" priority="354">
      <formula>AG$9&gt;=20/24</formula>
    </cfRule>
    <cfRule type="expression" dxfId="6855" priority="355">
      <formula>AND(AG$9&gt;=14/24,AG$9&lt;20/24)</formula>
    </cfRule>
    <cfRule type="expression" dxfId="6854" priority="356">
      <formula>AND(AG$9&gt;=8/24,AG$9&lt;14/24)</formula>
    </cfRule>
    <cfRule type="expression" dxfId="6853" priority="357">
      <formula>AG$9&lt;8/24</formula>
    </cfRule>
  </conditionalFormatting>
  <conditionalFormatting sqref="T245">
    <cfRule type="expression" dxfId="6852" priority="358">
      <formula>AX$9&gt;=20/24</formula>
    </cfRule>
    <cfRule type="expression" dxfId="6851" priority="359">
      <formula>AND(AX$9&gt;=14/24,AX$9&lt;20/24)</formula>
    </cfRule>
    <cfRule type="expression" dxfId="6850" priority="360">
      <formula>AND(AX$9&gt;=8/24,AX$9&lt;14/24)</formula>
    </cfRule>
    <cfRule type="expression" dxfId="6849" priority="361">
      <formula>AX$9&lt;8/24</formula>
    </cfRule>
  </conditionalFormatting>
  <conditionalFormatting sqref="A115:A116">
    <cfRule type="expression" dxfId="6848" priority="313">
      <formula>$AH115=0</formula>
    </cfRule>
  </conditionalFormatting>
  <conditionalFormatting sqref="O54:Y57 E71:AF71 AB54:AF57 O58:AF58">
    <cfRule type="expression" dxfId="6847" priority="309">
      <formula>E$9&gt;=20/24</formula>
    </cfRule>
    <cfRule type="expression" dxfId="6846" priority="310">
      <formula>AND(E$9&gt;=14/24,E$9&lt;20/24)</formula>
    </cfRule>
    <cfRule type="expression" dxfId="6845" priority="311">
      <formula>AND(E$9&gt;=8/24,E$9&lt;14/24)</formula>
    </cfRule>
    <cfRule type="expression" dxfId="6844" priority="312">
      <formula>E$9&lt;8/24</formula>
    </cfRule>
  </conditionalFormatting>
  <conditionalFormatting sqref="M53:W53 AB53:AF53">
    <cfRule type="expression" dxfId="6843" priority="305">
      <formula>M$9&gt;=20/24</formula>
    </cfRule>
    <cfRule type="expression" dxfId="6842" priority="306">
      <formula>AND(M$9&gt;=14/24,M$9&lt;20/24)</formula>
    </cfRule>
    <cfRule type="expression" dxfId="6841" priority="307">
      <formula>AND(M$9&gt;=8/24,M$9&lt;14/24)</formula>
    </cfRule>
    <cfRule type="expression" dxfId="6840" priority="308">
      <formula>M$9&lt;8/24</formula>
    </cfRule>
  </conditionalFormatting>
  <conditionalFormatting sqref="M53:N53 O53:W58 X54:Y57 AB53:AF57 X58:AF58">
    <cfRule type="expression" dxfId="6839" priority="304">
      <formula>M53&gt;$AG53</formula>
    </cfRule>
  </conditionalFormatting>
  <conditionalFormatting sqref="X96:AF96 AF100:AF106 M100:X106 E72:Y73 D86:AF86 X47:AF47 Z67:AF69 Z72:AF74">
    <cfRule type="expression" dxfId="6838" priority="300">
      <formula>D$9&gt;=20/24</formula>
    </cfRule>
    <cfRule type="expression" dxfId="6837" priority="301">
      <formula>AND(D$9&gt;=14/24,D$9&lt;20/24)</formula>
    </cfRule>
    <cfRule type="expression" dxfId="6836" priority="302">
      <formula>AND(D$9&gt;=8/24,D$9&lt;14/24)</formula>
    </cfRule>
    <cfRule type="expression" dxfId="6835" priority="303">
      <formula>D$9&lt;8/24</formula>
    </cfRule>
  </conditionalFormatting>
  <conditionalFormatting sqref="X47:AF47 Z67:AF69">
    <cfRule type="expression" dxfId="6834" priority="299">
      <formula>X47&gt;$AG47</formula>
    </cfRule>
  </conditionalFormatting>
  <conditionalFormatting sqref="X53:Y53 Z53:AA57">
    <cfRule type="expression" dxfId="6833" priority="295">
      <formula>X$9&gt;=20/24</formula>
    </cfRule>
    <cfRule type="expression" dxfId="6832" priority="296">
      <formula>AND(X$9&gt;=14/24,X$9&lt;20/24)</formula>
    </cfRule>
    <cfRule type="expression" dxfId="6831" priority="297">
      <formula>AND(X$9&gt;=8/24,X$9&lt;14/24)</formula>
    </cfRule>
    <cfRule type="expression" dxfId="6830" priority="298">
      <formula>X$9&lt;8/24</formula>
    </cfRule>
  </conditionalFormatting>
  <conditionalFormatting sqref="X53:Y53 Z53:AA57">
    <cfRule type="expression" dxfId="6829" priority="294">
      <formula>X53&gt;$AG53</formula>
    </cfRule>
  </conditionalFormatting>
  <conditionalFormatting sqref="C97:AF97 D88:AF88">
    <cfRule type="expression" dxfId="6828" priority="290">
      <formula>C$9&gt;=20/24</formula>
    </cfRule>
    <cfRule type="expression" dxfId="6827" priority="291">
      <formula>AND(C$9&gt;=14/24,C$9&lt;20/24)</formula>
    </cfRule>
    <cfRule type="expression" dxfId="6826" priority="292">
      <formula>AND(C$9&gt;=8/24,C$9&lt;14/24)</formula>
    </cfRule>
    <cfRule type="expression" dxfId="6825" priority="293">
      <formula>C$9&lt;8/24</formula>
    </cfRule>
  </conditionalFormatting>
  <conditionalFormatting sqref="E54:N55">
    <cfRule type="expression" dxfId="6824" priority="281">
      <formula>E$9&gt;=20/24</formula>
    </cfRule>
    <cfRule type="expression" dxfId="6823" priority="282">
      <formula>AND(E$9&gt;=14/24,E$9&lt;20/24)</formula>
    </cfRule>
    <cfRule type="expression" dxfId="6822" priority="283">
      <formula>AND(E$9&gt;=8/24,E$9&lt;14/24)</formula>
    </cfRule>
    <cfRule type="expression" dxfId="6821" priority="284">
      <formula>E$9&lt;8/24</formula>
    </cfRule>
  </conditionalFormatting>
  <conditionalFormatting sqref="E53:L53">
    <cfRule type="expression" dxfId="6820" priority="277">
      <formula>E$9&gt;=20/24</formula>
    </cfRule>
    <cfRule type="expression" dxfId="6819" priority="278">
      <formula>AND(E$9&gt;=14/24,E$9&lt;20/24)</formula>
    </cfRule>
    <cfRule type="expression" dxfId="6818" priority="279">
      <formula>AND(E$9&gt;=8/24,E$9&lt;14/24)</formula>
    </cfRule>
    <cfRule type="expression" dxfId="6817" priority="280">
      <formula>E$9&lt;8/24</formula>
    </cfRule>
  </conditionalFormatting>
  <conditionalFormatting sqref="E53:L55 M54:N55">
    <cfRule type="expression" dxfId="6816" priority="276">
      <formula>E53&gt;$AG53</formula>
    </cfRule>
  </conditionalFormatting>
  <conditionalFormatting sqref="AG70 AG87 E100:L106 Q67:Y69">
    <cfRule type="expression" dxfId="6815" priority="272">
      <formula>E$9&gt;=20/24</formula>
    </cfRule>
    <cfRule type="expression" dxfId="6814" priority="273">
      <formula>AND(E$9&gt;=14/24,E$9&lt;20/24)</formula>
    </cfRule>
    <cfRule type="expression" dxfId="6813" priority="274">
      <formula>AND(E$9&gt;=8/24,E$9&lt;14/24)</formula>
    </cfRule>
    <cfRule type="expression" dxfId="6812" priority="275">
      <formula>E$9&lt;8/24</formula>
    </cfRule>
  </conditionalFormatting>
  <conditionalFormatting sqref="AG48 AG66 AG70 Q67:Y69">
    <cfRule type="expression" dxfId="6811" priority="271">
      <formula>Q48&gt;$AG48</formula>
    </cfRule>
  </conditionalFormatting>
  <conditionalFormatting sqref="A43">
    <cfRule type="expression" dxfId="6810" priority="265">
      <formula>$AH43=0</formula>
    </cfRule>
  </conditionalFormatting>
  <conditionalFormatting sqref="X91:AF95">
    <cfRule type="expression" dxfId="6809" priority="261">
      <formula>X$9&gt;=20/24</formula>
    </cfRule>
    <cfRule type="expression" dxfId="6808" priority="262">
      <formula>AND(X$9&gt;=14/24,X$9&lt;20/24)</formula>
    </cfRule>
    <cfRule type="expression" dxfId="6807" priority="263">
      <formula>AND(X$9&gt;=8/24,X$9&lt;14/24)</formula>
    </cfRule>
    <cfRule type="expression" dxfId="6806" priority="264">
      <formula>X$9&lt;8/24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6805" priority="257">
      <formula>E$9&gt;=20/24</formula>
    </cfRule>
    <cfRule type="expression" dxfId="6804" priority="258">
      <formula>AND(E$9&gt;=14/24,E$9&lt;20/24)</formula>
    </cfRule>
    <cfRule type="expression" dxfId="6803" priority="259">
      <formula>AND(E$9&gt;=8/24,E$9&lt;14/24)</formula>
    </cfRule>
    <cfRule type="expression" dxfId="6802" priority="260">
      <formula>E$9&lt;8/24</formula>
    </cfRule>
  </conditionalFormatting>
  <conditionalFormatting sqref="E49:AF51">
    <cfRule type="expression" dxfId="6801" priority="256">
      <formula>E49&gt;$AG49</formula>
    </cfRule>
  </conditionalFormatting>
  <conditionalFormatting sqref="AG52">
    <cfRule type="expression" dxfId="6800" priority="252">
      <formula>AG$9&gt;=20/24</formula>
    </cfRule>
    <cfRule type="expression" dxfId="6799" priority="253">
      <formula>AND(AG$9&gt;=14/24,AG$9&lt;20/24)</formula>
    </cfRule>
    <cfRule type="expression" dxfId="6798" priority="254">
      <formula>AND(AG$9&gt;=8/24,AG$9&lt;14/24)</formula>
    </cfRule>
    <cfRule type="expression" dxfId="6797" priority="255">
      <formula>AG$9&lt;8/24</formula>
    </cfRule>
  </conditionalFormatting>
  <conditionalFormatting sqref="AG52">
    <cfRule type="expression" dxfId="6796" priority="251">
      <formula>AG52&gt;$AG52</formula>
    </cfRule>
  </conditionalFormatting>
  <conditionalFormatting sqref="C107:AF107">
    <cfRule type="expression" dxfId="6795" priority="247">
      <formula>C$9&gt;=20/24</formula>
    </cfRule>
    <cfRule type="expression" dxfId="6794" priority="248">
      <formula>AND(C$9&gt;=14/24,C$9&lt;20/24)</formula>
    </cfRule>
    <cfRule type="expression" dxfId="6793" priority="249">
      <formula>AND(C$9&gt;=8/24,C$9&lt;14/24)</formula>
    </cfRule>
    <cfRule type="expression" dxfId="6792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6791" priority="245">
      <formula>$AH40=0</formula>
    </cfRule>
  </conditionalFormatting>
  <conditionalFormatting sqref="A90">
    <cfRule type="expression" dxfId="6790" priority="243">
      <formula>$AH90=0</formula>
    </cfRule>
  </conditionalFormatting>
  <conditionalFormatting sqref="A87">
    <cfRule type="expression" dxfId="6789" priority="244">
      <formula>$AH87=0</formula>
    </cfRule>
  </conditionalFormatting>
  <conditionalFormatting sqref="D110:AF110">
    <cfRule type="expression" dxfId="6788" priority="239">
      <formula>D$9&gt;=20/24</formula>
    </cfRule>
    <cfRule type="expression" dxfId="6787" priority="240">
      <formula>AND(D$9&gt;=14/24,D$9&lt;20/24)</formula>
    </cfRule>
    <cfRule type="expression" dxfId="6786" priority="241">
      <formula>AND(D$9&gt;=8/24,D$9&lt;14/24)</formula>
    </cfRule>
    <cfRule type="expression" dxfId="6785" priority="242">
      <formula>D$9&lt;8/24</formula>
    </cfRule>
  </conditionalFormatting>
  <conditionalFormatting sqref="A110">
    <cfRule type="expression" dxfId="6784" priority="238">
      <formula>$AH110=0</formula>
    </cfRule>
  </conditionalFormatting>
  <conditionalFormatting sqref="A21">
    <cfRule type="expression" dxfId="6783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782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6781" priority="230">
      <formula>Y$9&gt;=20/24</formula>
    </cfRule>
    <cfRule type="expression" dxfId="6780" priority="231">
      <formula>AND(Y$9&gt;=14/24,Y$9&lt;20/24)</formula>
    </cfRule>
    <cfRule type="expression" dxfId="6779" priority="232">
      <formula>AND(Y$9&gt;=8/24,Y$9&lt;14/24)</formula>
    </cfRule>
    <cfRule type="expression" dxfId="6778" priority="233">
      <formula>Y$9&lt;8/24</formula>
    </cfRule>
  </conditionalFormatting>
  <conditionalFormatting sqref="Y100:AE106">
    <cfRule type="expression" dxfId="6777" priority="226">
      <formula>Y$9&gt;=20/24</formula>
    </cfRule>
    <cfRule type="expression" dxfId="6776" priority="227">
      <formula>AND(Y$9&gt;=14/24,Y$9&lt;20/24)</formula>
    </cfRule>
    <cfRule type="expression" dxfId="6775" priority="228">
      <formula>AND(Y$9&gt;=8/24,Y$9&lt;14/24)</formula>
    </cfRule>
    <cfRule type="expression" dxfId="6774" priority="229">
      <formula>Y$9&lt;8/24</formula>
    </cfRule>
  </conditionalFormatting>
  <conditionalFormatting sqref="C109 C111:C116 Z34:AF43 Z17:AF32">
    <cfRule type="expression" dxfId="6773" priority="222">
      <formula>C$9&gt;=20/24</formula>
    </cfRule>
    <cfRule type="expression" dxfId="6772" priority="223">
      <formula>AND(C$9&gt;=14/24,C$9&lt;20/24)</formula>
    </cfRule>
    <cfRule type="expression" dxfId="6771" priority="224">
      <formula>AND(C$9&gt;=8/24,C$9&lt;14/24)</formula>
    </cfRule>
    <cfRule type="expression" dxfId="6770" priority="225">
      <formula>C$9&lt;8/24</formula>
    </cfRule>
  </conditionalFormatting>
  <conditionalFormatting sqref="C47:W47">
    <cfRule type="expression" dxfId="6769" priority="218">
      <formula>C$9&gt;=20/24</formula>
    </cfRule>
    <cfRule type="expression" dxfId="6768" priority="219">
      <formula>AND(C$9&gt;=14/24,C$9&lt;20/24)</formula>
    </cfRule>
    <cfRule type="expression" dxfId="6767" priority="220">
      <formula>AND(C$9&gt;=8/24,C$9&lt;14/24)</formula>
    </cfRule>
    <cfRule type="expression" dxfId="6766" priority="221">
      <formula>C$9&lt;8/24</formula>
    </cfRule>
  </conditionalFormatting>
  <conditionalFormatting sqref="C47:W47 Z34:AF43 Z17:AF32">
    <cfRule type="expression" dxfId="6765" priority="217">
      <formula>C17&gt;$AG17</formula>
    </cfRule>
  </conditionalFormatting>
  <conditionalFormatting sqref="C99:D99">
    <cfRule type="expression" dxfId="6764" priority="213">
      <formula>C$9&gt;=20/24</formula>
    </cfRule>
    <cfRule type="expression" dxfId="6763" priority="214">
      <formula>AND(C$9&gt;=14/24,C$9&lt;20/24)</formula>
    </cfRule>
    <cfRule type="expression" dxfId="6762" priority="215">
      <formula>AND(C$9&gt;=8/24,C$9&lt;14/24)</formula>
    </cfRule>
    <cfRule type="expression" dxfId="6761" priority="216">
      <formula>C$9&lt;8/24</formula>
    </cfRule>
  </conditionalFormatting>
  <conditionalFormatting sqref="C86 C96:W96 D100:D106 E74:M75 I76:M76 E67:P69 N74:Y76 C83:AF85 Z75:AF76">
    <cfRule type="expression" dxfId="6760" priority="209">
      <formula>C$9&gt;=20/24</formula>
    </cfRule>
    <cfRule type="expression" dxfId="6759" priority="210">
      <formula>AND(C$9&gt;=14/24,C$9&lt;20/24)</formula>
    </cfRule>
    <cfRule type="expression" dxfId="6758" priority="211">
      <formula>AND(C$9&gt;=8/24,C$9&lt;14/24)</formula>
    </cfRule>
    <cfRule type="expression" dxfId="6757" priority="212">
      <formula>C$9&lt;8/24</formula>
    </cfRule>
  </conditionalFormatting>
  <conditionalFormatting sqref="E56:N57 E67:P69">
    <cfRule type="expression" dxfId="6756" priority="208">
      <formula>E56&gt;$AG56</formula>
    </cfRule>
  </conditionalFormatting>
  <conditionalFormatting sqref="F58:N58">
    <cfRule type="expression" dxfId="6755" priority="204">
      <formula>F$9&gt;=20/24</formula>
    </cfRule>
    <cfRule type="expression" dxfId="6754" priority="205">
      <formula>AND(F$9&gt;=14/24,F$9&lt;20/24)</formula>
    </cfRule>
    <cfRule type="expression" dxfId="6753" priority="206">
      <formula>AND(F$9&gt;=8/24,F$9&lt;14/24)</formula>
    </cfRule>
    <cfRule type="expression" dxfId="6752" priority="207">
      <formula>F$9&lt;8/24</formula>
    </cfRule>
  </conditionalFormatting>
  <conditionalFormatting sqref="F58:N58">
    <cfRule type="expression" dxfId="6751" priority="203">
      <formula>F58&gt;$AG58</formula>
    </cfRule>
  </conditionalFormatting>
  <conditionalFormatting sqref="B54:D57 B71:D71">
    <cfRule type="expression" dxfId="6750" priority="132">
      <formula>B$9&gt;=20/24</formula>
    </cfRule>
    <cfRule type="expression" dxfId="6749" priority="133">
      <formula>AND(B$9&gt;=14/24,B$9&lt;20/24)</formula>
    </cfRule>
    <cfRule type="expression" dxfId="6748" priority="134">
      <formula>AND(B$9&gt;=8/24,B$9&lt;14/24)</formula>
    </cfRule>
    <cfRule type="expression" dxfId="6747" priority="135">
      <formula>B$9&lt;8/24</formula>
    </cfRule>
  </conditionalFormatting>
  <conditionalFormatting sqref="M70:AF70 C89:AF89 C98:AF98 C87:AF87">
    <cfRule type="expression" dxfId="6746" priority="199">
      <formula>C$9&gt;=20/24</formula>
    </cfRule>
    <cfRule type="expression" dxfId="6745" priority="200">
      <formula>AND(C$9&gt;=14/24,C$9&lt;20/24)</formula>
    </cfRule>
    <cfRule type="expression" dxfId="6744" priority="201">
      <formula>AND(C$9&gt;=8/24,C$9&lt;14/24)</formula>
    </cfRule>
    <cfRule type="expression" dxfId="6743" priority="202">
      <formula>C$9&lt;8/24</formula>
    </cfRule>
  </conditionalFormatting>
  <conditionalFormatting sqref="M70:AF70 B48:AF48 C65:AF66">
    <cfRule type="expression" dxfId="6742" priority="198">
      <formula>B48&gt;$AG48</formula>
    </cfRule>
  </conditionalFormatting>
  <conditionalFormatting sqref="C82:AF82">
    <cfRule type="expression" dxfId="6741" priority="194">
      <formula>C$9&gt;=20/24</formula>
    </cfRule>
    <cfRule type="expression" dxfId="6740" priority="195">
      <formula>AND(C$9&gt;=14/24,C$9&lt;20/24)</formula>
    </cfRule>
    <cfRule type="expression" dxfId="6739" priority="196">
      <formula>AND(C$9&gt;=8/24,C$9&lt;14/24)</formula>
    </cfRule>
    <cfRule type="expression" dxfId="6738" priority="197">
      <formula>C$9&lt;8/24</formula>
    </cfRule>
  </conditionalFormatting>
  <conditionalFormatting sqref="C91:W95">
    <cfRule type="expression" dxfId="6737" priority="190">
      <formula>C$9&gt;=20/24</formula>
    </cfRule>
    <cfRule type="expression" dxfId="6736" priority="191">
      <formula>AND(C$9&gt;=14/24,C$9&lt;20/24)</formula>
    </cfRule>
    <cfRule type="expression" dxfId="6735" priority="192">
      <formula>AND(C$9&gt;=8/24,C$9&lt;14/24)</formula>
    </cfRule>
    <cfRule type="expression" dxfId="6734" priority="193">
      <formula>C$9&lt;8/24</formula>
    </cfRule>
  </conditionalFormatting>
  <conditionalFormatting sqref="C52:AF52">
    <cfRule type="expression" dxfId="6733" priority="186">
      <formula>C$9&gt;=20/24</formula>
    </cfRule>
    <cfRule type="expression" dxfId="6732" priority="187">
      <formula>AND(C$9&gt;=14/24,C$9&lt;20/24)</formula>
    </cfRule>
    <cfRule type="expression" dxfId="6731" priority="188">
      <formula>AND(C$9&gt;=8/24,C$9&lt;14/24)</formula>
    </cfRule>
    <cfRule type="expression" dxfId="6730" priority="189">
      <formula>C$9&lt;8/24</formula>
    </cfRule>
  </conditionalFormatting>
  <conditionalFormatting sqref="C52:AF52">
    <cfRule type="expression" dxfId="6729" priority="185">
      <formula>C52&gt;$AG52</formula>
    </cfRule>
  </conditionalFormatting>
  <conditionalFormatting sqref="B49:D51">
    <cfRule type="expression" dxfId="6728" priority="100">
      <formula>B$9&gt;=20/24</formula>
    </cfRule>
    <cfRule type="expression" dxfId="6727" priority="101">
      <formula>AND(B$9&gt;=14/24,B$9&lt;20/24)</formula>
    </cfRule>
    <cfRule type="expression" dxfId="6726" priority="102">
      <formula>AND(B$9&gt;=8/24,B$9&lt;14/24)</formula>
    </cfRule>
    <cfRule type="expression" dxfId="6725" priority="103">
      <formula>B$9&lt;8/24</formula>
    </cfRule>
  </conditionalFormatting>
  <conditionalFormatting sqref="C110">
    <cfRule type="expression" dxfId="6724" priority="177">
      <formula>C$9&gt;=20/24</formula>
    </cfRule>
    <cfRule type="expression" dxfId="6723" priority="178">
      <formula>AND(C$9&gt;=14/24,C$9&lt;20/24)</formula>
    </cfRule>
    <cfRule type="expression" dxfId="6722" priority="179">
      <formula>AND(C$9&gt;=8/24,C$9&lt;14/24)</formula>
    </cfRule>
    <cfRule type="expression" dxfId="6721" priority="180">
      <formula>C$9&lt;8/24</formula>
    </cfRule>
  </conditionalFormatting>
  <conditionalFormatting sqref="O59:AF64">
    <cfRule type="expression" dxfId="6720" priority="173">
      <formula>O$9&gt;=20/24</formula>
    </cfRule>
    <cfRule type="expression" dxfId="6719" priority="174">
      <formula>AND(O$9&gt;=14/24,O$9&lt;20/24)</formula>
    </cfRule>
    <cfRule type="expression" dxfId="6718" priority="175">
      <formula>AND(O$9&gt;=8/24,O$9&lt;14/24)</formula>
    </cfRule>
    <cfRule type="expression" dxfId="6717" priority="176">
      <formula>O$9&lt;8/24</formula>
    </cfRule>
  </conditionalFormatting>
  <conditionalFormatting sqref="O59:AF64">
    <cfRule type="expression" dxfId="6716" priority="172">
      <formula>O59&gt;$AG59</formula>
    </cfRule>
  </conditionalFormatting>
  <conditionalFormatting sqref="Z45:AF45 Z13:AF15">
    <cfRule type="expression" dxfId="6715" priority="171">
      <formula>Z13&gt;$AG13</formula>
    </cfRule>
  </conditionalFormatting>
  <conditionalFormatting sqref="Z12:AF12">
    <cfRule type="expression" dxfId="6714" priority="167">
      <formula>Z$9&gt;=20/24</formula>
    </cfRule>
    <cfRule type="expression" dxfId="6713" priority="168">
      <formula>AND(Z$9&gt;=14/24,Z$9&lt;20/24)</formula>
    </cfRule>
    <cfRule type="expression" dxfId="6712" priority="169">
      <formula>AND(Z$9&gt;=8/24,Z$9&lt;14/24)</formula>
    </cfRule>
    <cfRule type="expression" dxfId="6711" priority="170">
      <formula>Z$9&lt;8/24</formula>
    </cfRule>
  </conditionalFormatting>
  <conditionalFormatting sqref="Z12:AF12">
    <cfRule type="expression" dxfId="6710" priority="166">
      <formula>Z12&gt;$AG12</formula>
    </cfRule>
  </conditionalFormatting>
  <conditionalFormatting sqref="Z13:AF15">
    <cfRule type="expression" dxfId="6709" priority="162">
      <formula>Z$9&gt;=20/24</formula>
    </cfRule>
    <cfRule type="expression" dxfId="6708" priority="163">
      <formula>AND(Z$9&gt;=14/24,Z$9&lt;20/24)</formula>
    </cfRule>
    <cfRule type="expression" dxfId="6707" priority="164">
      <formula>AND(Z$9&gt;=8/24,Z$9&lt;14/24)</formula>
    </cfRule>
    <cfRule type="expression" dxfId="6706" priority="165">
      <formula>Z$9&lt;8/24</formula>
    </cfRule>
  </conditionalFormatting>
  <conditionalFormatting sqref="Z45:AF45">
    <cfRule type="expression" dxfId="6705" priority="158">
      <formula>Z$9&gt;=20/24</formula>
    </cfRule>
    <cfRule type="expression" dxfId="6704" priority="159">
      <formula>AND(Z$9&gt;=14/24,Z$9&lt;20/24)</formula>
    </cfRule>
    <cfRule type="expression" dxfId="6703" priority="160">
      <formula>AND(Z$9&gt;=8/24,Z$9&lt;14/24)</formula>
    </cfRule>
    <cfRule type="expression" dxfId="6702" priority="161">
      <formula>Z$9&lt;8/24</formula>
    </cfRule>
  </conditionalFormatting>
  <conditionalFormatting sqref="M77:AF81">
    <cfRule type="expression" dxfId="6701" priority="154">
      <formula>M$9&gt;=20/24</formula>
    </cfRule>
    <cfRule type="expression" dxfId="6700" priority="155">
      <formula>AND(M$9&gt;=14/24,M$9&lt;20/24)</formula>
    </cfRule>
    <cfRule type="expression" dxfId="6699" priority="156">
      <formula>AND(M$9&gt;=8/24,M$9&lt;14/24)</formula>
    </cfRule>
    <cfRule type="expression" dxfId="6698" priority="157">
      <formula>M$9&lt;8/24</formula>
    </cfRule>
  </conditionalFormatting>
  <conditionalFormatting sqref="AL78:AN78 AL84:AN84 AN79:AN80">
    <cfRule type="expression" dxfId="6697" priority="150">
      <formula>AL$9&gt;=20/24</formula>
    </cfRule>
    <cfRule type="expression" dxfId="6696" priority="151">
      <formula>AND(AL$9&gt;=14/24,AL$9&lt;20/24)</formula>
    </cfRule>
    <cfRule type="expression" dxfId="6695" priority="152">
      <formula>AND(AL$9&gt;=8/24,AL$9&lt;14/24)</formula>
    </cfRule>
    <cfRule type="expression" dxfId="6694" priority="153">
      <formula>AL$9&lt;8/24</formula>
    </cfRule>
  </conditionalFormatting>
  <conditionalFormatting sqref="AN81:AN82">
    <cfRule type="expression" dxfId="6693" priority="146">
      <formula>AN$9&gt;=20/24</formula>
    </cfRule>
    <cfRule type="expression" dxfId="6692" priority="147">
      <formula>AND(AN$9&gt;=14/24,AN$9&lt;20/24)</formula>
    </cfRule>
    <cfRule type="expression" dxfId="6691" priority="148">
      <formula>AND(AN$9&gt;=8/24,AN$9&lt;14/24)</formula>
    </cfRule>
    <cfRule type="expression" dxfId="6690" priority="149">
      <formula>AN$9&lt;8/24</formula>
    </cfRule>
  </conditionalFormatting>
  <conditionalFormatting sqref="AL79:AM83">
    <cfRule type="expression" dxfId="6689" priority="363">
      <formula>AJ$9&gt;=20/24</formula>
    </cfRule>
    <cfRule type="expression" dxfId="6688" priority="364">
      <formula>AND(AJ$9&gt;=14/24,AJ$9&lt;20/24)</formula>
    </cfRule>
    <cfRule type="expression" dxfId="6687" priority="365">
      <formula>AND(AJ$9&gt;=8/24,AJ$9&lt;14/24)</formula>
    </cfRule>
    <cfRule type="expression" dxfId="6686" priority="366">
      <formula>AJ$9&lt;8/24</formula>
    </cfRule>
  </conditionalFormatting>
  <conditionalFormatting sqref="A117">
    <cfRule type="expression" dxfId="6685" priority="145">
      <formula>$AH117=0</formula>
    </cfRule>
  </conditionalFormatting>
  <conditionalFormatting sqref="B109 B111:B116 B12:Y15 B17:Y32 B34:Y43 B45:Y45">
    <cfRule type="expression" dxfId="6684" priority="141">
      <formula>B$9&gt;=20/24</formula>
    </cfRule>
    <cfRule type="expression" dxfId="6683" priority="142">
      <formula>AND(B$9&gt;=14/24,B$9&lt;20/24)</formula>
    </cfRule>
    <cfRule type="expression" dxfId="6682" priority="143">
      <formula>AND(B$9&gt;=8/24,B$9&lt;14/24)</formula>
    </cfRule>
    <cfRule type="expression" dxfId="6681" priority="144">
      <formula>B$9&lt;8/24</formula>
    </cfRule>
  </conditionalFormatting>
  <conditionalFormatting sqref="B12:Y15 B17:Y32 B34:Y43 B45:Y45">
    <cfRule type="expression" dxfId="6680" priority="140">
      <formula>B12&gt;$AG12</formula>
    </cfRule>
  </conditionalFormatting>
  <conditionalFormatting sqref="B99">
    <cfRule type="expression" dxfId="6679" priority="136">
      <formula>B$9&gt;=20/24</formula>
    </cfRule>
    <cfRule type="expression" dxfId="6678" priority="137">
      <formula>AND(B$9&gt;=14/24,B$9&lt;20/24)</formula>
    </cfRule>
    <cfRule type="expression" dxfId="6677" priority="138">
      <formula>AND(B$9&gt;=8/24,B$9&lt;14/24)</formula>
    </cfRule>
    <cfRule type="expression" dxfId="6676" priority="139">
      <formula>B$9&lt;8/24</formula>
    </cfRule>
  </conditionalFormatting>
  <conditionalFormatting sqref="B53:D53">
    <cfRule type="expression" dxfId="6675" priority="128">
      <formula>B$9&gt;=20/24</formula>
    </cfRule>
    <cfRule type="expression" dxfId="6674" priority="129">
      <formula>AND(B$9&gt;=14/24,B$9&lt;20/24)</formula>
    </cfRule>
    <cfRule type="expression" dxfId="6673" priority="130">
      <formula>AND(B$9&gt;=8/24,B$9&lt;14/24)</formula>
    </cfRule>
    <cfRule type="expression" dxfId="6672" priority="131">
      <formula>B$9&lt;8/24</formula>
    </cfRule>
  </conditionalFormatting>
  <conditionalFormatting sqref="B53:D57">
    <cfRule type="expression" dxfId="6671" priority="127">
      <formula>B53&gt;$AG53</formula>
    </cfRule>
  </conditionalFormatting>
  <conditionalFormatting sqref="B96 B86 B47 B100:C106 B67:D69 B72:D74">
    <cfRule type="expression" dxfId="6670" priority="123">
      <formula>B$9&gt;=20/24</formula>
    </cfRule>
    <cfRule type="expression" dxfId="6669" priority="124">
      <formula>AND(B$9&gt;=14/24,B$9&lt;20/24)</formula>
    </cfRule>
    <cfRule type="expression" dxfId="6668" priority="125">
      <formula>AND(B$9&gt;=8/24,B$9&lt;14/24)</formula>
    </cfRule>
    <cfRule type="expression" dxfId="6667" priority="126">
      <formula>B$9&lt;8/24</formula>
    </cfRule>
  </conditionalFormatting>
  <conditionalFormatting sqref="B47 B67:D69">
    <cfRule type="expression" dxfId="6666" priority="122">
      <formula>B47&gt;$AG47</formula>
    </cfRule>
  </conditionalFormatting>
  <conditionalFormatting sqref="B97 B88:C88">
    <cfRule type="expression" dxfId="6665" priority="118">
      <formula>B$9&gt;=20/24</formula>
    </cfRule>
    <cfRule type="expression" dxfId="6664" priority="119">
      <formula>AND(B$9&gt;=14/24,B$9&lt;20/24)</formula>
    </cfRule>
    <cfRule type="expression" dxfId="6663" priority="120">
      <formula>AND(B$9&gt;=8/24,B$9&lt;14/24)</formula>
    </cfRule>
    <cfRule type="expression" dxfId="6662" priority="121">
      <formula>B$9&lt;8/24</formula>
    </cfRule>
  </conditionalFormatting>
  <conditionalFormatting sqref="B46:AF46">
    <cfRule type="expression" dxfId="6661" priority="114">
      <formula>B$9&gt;=20/24</formula>
    </cfRule>
    <cfRule type="expression" dxfId="6660" priority="115">
      <formula>AND(B$9&gt;=14/24,B$9&lt;20/24)</formula>
    </cfRule>
    <cfRule type="expression" dxfId="6659" priority="116">
      <formula>AND(B$9&gt;=8/24,B$9&lt;14/24)</formula>
    </cfRule>
    <cfRule type="expression" dxfId="6658" priority="117">
      <formula>B$9&lt;8/24</formula>
    </cfRule>
  </conditionalFormatting>
  <conditionalFormatting sqref="B46:AF46">
    <cfRule type="expression" dxfId="6657" priority="113">
      <formula>B46&gt;$AG46</formula>
    </cfRule>
  </conditionalFormatting>
  <conditionalFormatting sqref="B58:E58">
    <cfRule type="expression" dxfId="6656" priority="109">
      <formula>B$9&gt;=20/24</formula>
    </cfRule>
    <cfRule type="expression" dxfId="6655" priority="110">
      <formula>AND(B$9&gt;=14/24,B$9&lt;20/24)</formula>
    </cfRule>
    <cfRule type="expression" dxfId="6654" priority="111">
      <formula>AND(B$9&gt;=8/24,B$9&lt;14/24)</formula>
    </cfRule>
    <cfRule type="expression" dxfId="6653" priority="112">
      <formula>B$9&lt;8/24</formula>
    </cfRule>
  </conditionalFormatting>
  <conditionalFormatting sqref="B58:E58">
    <cfRule type="expression" dxfId="6652" priority="108">
      <formula>B58&gt;$AG58</formula>
    </cfRule>
  </conditionalFormatting>
  <conditionalFormatting sqref="B91:B95">
    <cfRule type="expression" dxfId="6651" priority="104">
      <formula>B$9&gt;=20/24</formula>
    </cfRule>
    <cfRule type="expression" dxfId="6650" priority="105">
      <formula>AND(B$9&gt;=14/24,B$9&lt;20/24)</formula>
    </cfRule>
    <cfRule type="expression" dxfId="6649" priority="106">
      <formula>AND(B$9&gt;=8/24,B$9&lt;14/24)</formula>
    </cfRule>
    <cfRule type="expression" dxfId="6648" priority="107">
      <formula>B$9&lt;8/24</formula>
    </cfRule>
  </conditionalFormatting>
  <conditionalFormatting sqref="B49:D51">
    <cfRule type="expression" dxfId="6647" priority="99">
      <formula>B49&gt;$AG49</formula>
    </cfRule>
  </conditionalFormatting>
  <conditionalFormatting sqref="B107">
    <cfRule type="expression" dxfId="6646" priority="95">
      <formula>B$9&gt;=20/24</formula>
    </cfRule>
    <cfRule type="expression" dxfId="6645" priority="96">
      <formula>AND(B$9&gt;=14/24,B$9&lt;20/24)</formula>
    </cfRule>
    <cfRule type="expression" dxfId="6644" priority="97">
      <formula>AND(B$9&gt;=8/24,B$9&lt;14/24)</formula>
    </cfRule>
    <cfRule type="expression" dxfId="6643" priority="98">
      <formula>B$9&lt;8/24</formula>
    </cfRule>
  </conditionalFormatting>
  <conditionalFormatting sqref="B110">
    <cfRule type="expression" dxfId="6642" priority="91">
      <formula>B$9&gt;=20/24</formula>
    </cfRule>
    <cfRule type="expression" dxfId="6641" priority="92">
      <formula>AND(B$9&gt;=14/24,B$9&lt;20/24)</formula>
    </cfRule>
    <cfRule type="expression" dxfId="6640" priority="93">
      <formula>AND(B$9&gt;=8/24,B$9&lt;14/24)</formula>
    </cfRule>
    <cfRule type="expression" dxfId="6639" priority="94">
      <formula>B$9&lt;8/24</formula>
    </cfRule>
  </conditionalFormatting>
  <conditionalFormatting sqref="B83:B85 B75:D76 E76:H76">
    <cfRule type="expression" dxfId="6638" priority="87">
      <formula>B$9&gt;=20/24</formula>
    </cfRule>
    <cfRule type="expression" dxfId="6637" priority="88">
      <formula>AND(B$9&gt;=14/24,B$9&lt;20/24)</formula>
    </cfRule>
    <cfRule type="expression" dxfId="6636" priority="89">
      <formula>AND(B$9&gt;=8/24,B$9&lt;14/24)</formula>
    </cfRule>
    <cfRule type="expression" dxfId="6635" priority="90">
      <formula>B$9&lt;8/24</formula>
    </cfRule>
  </conditionalFormatting>
  <conditionalFormatting sqref="B89 B98 B87 B70:L70">
    <cfRule type="expression" dxfId="6634" priority="83">
      <formula>B$9&gt;=20/24</formula>
    </cfRule>
    <cfRule type="expression" dxfId="6633" priority="84">
      <formula>AND(B$9&gt;=14/24,B$9&lt;20/24)</formula>
    </cfRule>
    <cfRule type="expression" dxfId="6632" priority="85">
      <formula>AND(B$9&gt;=8/24,B$9&lt;14/24)</formula>
    </cfRule>
    <cfRule type="expression" dxfId="6631" priority="86">
      <formula>B$9&lt;8/24</formula>
    </cfRule>
  </conditionalFormatting>
  <conditionalFormatting sqref="B65:B66 B70:L70">
    <cfRule type="expression" dxfId="6630" priority="82">
      <formula>B65&gt;$AG65</formula>
    </cfRule>
  </conditionalFormatting>
  <conditionalFormatting sqref="B82">
    <cfRule type="expression" dxfId="6629" priority="78">
      <formula>B$9&gt;=20/24</formula>
    </cfRule>
    <cfRule type="expression" dxfId="6628" priority="79">
      <formula>AND(B$9&gt;=14/24,B$9&lt;20/24)</formula>
    </cfRule>
    <cfRule type="expression" dxfId="6627" priority="80">
      <formula>AND(B$9&gt;=8/24,B$9&lt;14/24)</formula>
    </cfRule>
    <cfRule type="expression" dxfId="6626" priority="81">
      <formula>B$9&lt;8/24</formula>
    </cfRule>
  </conditionalFormatting>
  <conditionalFormatting sqref="B52">
    <cfRule type="expression" dxfId="6625" priority="74">
      <formula>B$9&gt;=20/24</formula>
    </cfRule>
    <cfRule type="expression" dxfId="6624" priority="75">
      <formula>AND(B$9&gt;=14/24,B$9&lt;20/24)</formula>
    </cfRule>
    <cfRule type="expression" dxfId="6623" priority="76">
      <formula>AND(B$9&gt;=8/24,B$9&lt;14/24)</formula>
    </cfRule>
    <cfRule type="expression" dxfId="6622" priority="77">
      <formula>B$9&lt;8/24</formula>
    </cfRule>
  </conditionalFormatting>
  <conditionalFormatting sqref="B52">
    <cfRule type="expression" dxfId="6621" priority="73">
      <formula>B52&gt;$AG52</formula>
    </cfRule>
  </conditionalFormatting>
  <conditionalFormatting sqref="B59:N64">
    <cfRule type="expression" dxfId="6620" priority="65">
      <formula>B$9&gt;=20/24</formula>
    </cfRule>
    <cfRule type="expression" dxfId="6619" priority="66">
      <formula>AND(B$9&gt;=14/24,B$9&lt;20/24)</formula>
    </cfRule>
    <cfRule type="expression" dxfId="6618" priority="67">
      <formula>AND(B$9&gt;=8/24,B$9&lt;14/24)</formula>
    </cfRule>
    <cfRule type="expression" dxfId="6617" priority="68">
      <formula>B$9&lt;8/24</formula>
    </cfRule>
  </conditionalFormatting>
  <conditionalFormatting sqref="B59:N64">
    <cfRule type="expression" dxfId="6616" priority="64">
      <formula>B59&gt;$AG59</formula>
    </cfRule>
  </conditionalFormatting>
  <conditionalFormatting sqref="B77:L81">
    <cfRule type="expression" dxfId="6615" priority="60">
      <formula>B$9&gt;=20/24</formula>
    </cfRule>
    <cfRule type="expression" dxfId="6614" priority="61">
      <formula>AND(B$9&gt;=14/24,B$9&lt;20/24)</formula>
    </cfRule>
    <cfRule type="expression" dxfId="6613" priority="62">
      <formula>AND(B$9&gt;=8/24,B$9&lt;14/24)</formula>
    </cfRule>
    <cfRule type="expression" dxfId="6612" priority="63">
      <formula>B$9&lt;8/24</formula>
    </cfRule>
  </conditionalFormatting>
  <conditionalFormatting sqref="A11">
    <cfRule type="expression" dxfId="6611" priority="59">
      <formula>$AH11=0</formula>
    </cfRule>
  </conditionalFormatting>
  <conditionalFormatting sqref="Z11:AF11">
    <cfRule type="expression" dxfId="6610" priority="55">
      <formula>Z$9&gt;=20/24</formula>
    </cfRule>
    <cfRule type="expression" dxfId="6609" priority="56">
      <formula>AND(Z$9&gt;=14/24,Z$9&lt;20/24)</formula>
    </cfRule>
    <cfRule type="expression" dxfId="6608" priority="57">
      <formula>AND(Z$9&gt;=8/24,Z$9&lt;14/24)</formula>
    </cfRule>
    <cfRule type="expression" dxfId="6607" priority="58">
      <formula>Z$9&lt;8/24</formula>
    </cfRule>
  </conditionalFormatting>
  <conditionalFormatting sqref="Z11:AF11">
    <cfRule type="expression" dxfId="6606" priority="54">
      <formula>Z11&gt;$AG11</formula>
    </cfRule>
  </conditionalFormatting>
  <conditionalFormatting sqref="B11:Y11">
    <cfRule type="expression" dxfId="6605" priority="50">
      <formula>B$9&gt;=20/24</formula>
    </cfRule>
    <cfRule type="expression" dxfId="6604" priority="51">
      <formula>AND(B$9&gt;=14/24,B$9&lt;20/24)</formula>
    </cfRule>
    <cfRule type="expression" dxfId="6603" priority="52">
      <formula>AND(B$9&gt;=8/24,B$9&lt;14/24)</formula>
    </cfRule>
    <cfRule type="expression" dxfId="6602" priority="53">
      <formula>B$9&lt;8/24</formula>
    </cfRule>
  </conditionalFormatting>
  <conditionalFormatting sqref="B11:Y11">
    <cfRule type="expression" dxfId="6601" priority="49">
      <formula>B11&gt;$AG11</formula>
    </cfRule>
  </conditionalFormatting>
  <conditionalFormatting sqref="A16">
    <cfRule type="expression" dxfId="6600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6599" priority="43">
      <formula>Z$9&gt;=20/24</formula>
    </cfRule>
    <cfRule type="expression" dxfId="6598" priority="44">
      <formula>AND(Z$9&gt;=14/24,Z$9&lt;20/24)</formula>
    </cfRule>
    <cfRule type="expression" dxfId="6597" priority="45">
      <formula>AND(Z$9&gt;=8/24,Z$9&lt;14/24)</formula>
    </cfRule>
    <cfRule type="expression" dxfId="6596" priority="46">
      <formula>Z$9&lt;8/24</formula>
    </cfRule>
  </conditionalFormatting>
  <conditionalFormatting sqref="Z16:AF16">
    <cfRule type="expression" dxfId="6595" priority="42">
      <formula>Z16&gt;$AG16</formula>
    </cfRule>
  </conditionalFormatting>
  <conditionalFormatting sqref="B16:Y16">
    <cfRule type="expression" dxfId="6594" priority="38">
      <formula>B$9&gt;=20/24</formula>
    </cfRule>
    <cfRule type="expression" dxfId="6593" priority="39">
      <formula>AND(B$9&gt;=14/24,B$9&lt;20/24)</formula>
    </cfRule>
    <cfRule type="expression" dxfId="6592" priority="40">
      <formula>AND(B$9&gt;=8/24,B$9&lt;14/24)</formula>
    </cfRule>
    <cfRule type="expression" dxfId="6591" priority="41">
      <formula>B$9&lt;8/24</formula>
    </cfRule>
  </conditionalFormatting>
  <conditionalFormatting sqref="B16:Y16">
    <cfRule type="expression" dxfId="6590" priority="37">
      <formula>B16&gt;$AG16</formula>
    </cfRule>
  </conditionalFormatting>
  <conditionalFormatting sqref="A33">
    <cfRule type="expression" dxfId="6589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6588" priority="31">
      <formula>Z$9&gt;=20/24</formula>
    </cfRule>
    <cfRule type="expression" dxfId="6587" priority="32">
      <formula>AND(Z$9&gt;=14/24,Z$9&lt;20/24)</formula>
    </cfRule>
    <cfRule type="expression" dxfId="6586" priority="33">
      <formula>AND(Z$9&gt;=8/24,Z$9&lt;14/24)</formula>
    </cfRule>
    <cfRule type="expression" dxfId="6585" priority="34">
      <formula>Z$9&lt;8/24</formula>
    </cfRule>
  </conditionalFormatting>
  <conditionalFormatting sqref="Z33:AF33">
    <cfRule type="expression" dxfId="6584" priority="30">
      <formula>Z33&gt;$AG33</formula>
    </cfRule>
  </conditionalFormatting>
  <conditionalFormatting sqref="B33:Y33">
    <cfRule type="expression" dxfId="6583" priority="26">
      <formula>B$9&gt;=20/24</formula>
    </cfRule>
    <cfRule type="expression" dxfId="6582" priority="27">
      <formula>AND(B$9&gt;=14/24,B$9&lt;20/24)</formula>
    </cfRule>
    <cfRule type="expression" dxfId="6581" priority="28">
      <formula>AND(B$9&gt;=8/24,B$9&lt;14/24)</formula>
    </cfRule>
    <cfRule type="expression" dxfId="6580" priority="29">
      <formula>B$9&lt;8/24</formula>
    </cfRule>
  </conditionalFormatting>
  <conditionalFormatting sqref="B33:Y33">
    <cfRule type="expression" dxfId="6579" priority="25">
      <formula>B33&gt;$AG33</formula>
    </cfRule>
  </conditionalFormatting>
  <conditionalFormatting sqref="A44">
    <cfRule type="expression" dxfId="6578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6577" priority="22">
      <formula>Z44&gt;$AG44</formula>
    </cfRule>
  </conditionalFormatting>
  <conditionalFormatting sqref="Z44:AF44">
    <cfRule type="expression" dxfId="6576" priority="18">
      <formula>Z$9&gt;=20/24</formula>
    </cfRule>
    <cfRule type="expression" dxfId="6575" priority="19">
      <formula>AND(Z$9&gt;=14/24,Z$9&lt;20/24)</formula>
    </cfRule>
    <cfRule type="expression" dxfId="6574" priority="20">
      <formula>AND(Z$9&gt;=8/24,Z$9&lt;14/24)</formula>
    </cfRule>
    <cfRule type="expression" dxfId="6573" priority="21">
      <formula>Z$9&lt;8/24</formula>
    </cfRule>
  </conditionalFormatting>
  <conditionalFormatting sqref="B44:Y44">
    <cfRule type="expression" dxfId="6572" priority="14">
      <formula>B$9&gt;=20/24</formula>
    </cfRule>
    <cfRule type="expression" dxfId="6571" priority="15">
      <formula>AND(B$9&gt;=14/24,B$9&lt;20/24)</formula>
    </cfRule>
    <cfRule type="expression" dxfId="6570" priority="16">
      <formula>AND(B$9&gt;=8/24,B$9&lt;14/24)</formula>
    </cfRule>
    <cfRule type="expression" dxfId="6569" priority="17">
      <formula>B$9&lt;8/24</formula>
    </cfRule>
  </conditionalFormatting>
  <conditionalFormatting sqref="B44:Y44">
    <cfRule type="expression" dxfId="6568" priority="13">
      <formula>B44&gt;$AG44</formula>
    </cfRule>
  </conditionalFormatting>
  <conditionalFormatting sqref="B117">
    <cfRule type="expression" dxfId="6567" priority="1">
      <formula>B$9&gt;=20/24</formula>
    </cfRule>
    <cfRule type="expression" dxfId="6566" priority="2">
      <formula>AND(B$9&gt;=14/24,B$9&lt;20/24)</formula>
    </cfRule>
    <cfRule type="expression" dxfId="6565" priority="3">
      <formula>AND(B$9&gt;=8/24,B$9&lt;14/24)</formula>
    </cfRule>
    <cfRule type="expression" dxfId="6564" priority="4">
      <formula>B$9&lt;8/24</formula>
    </cfRule>
  </conditionalFormatting>
  <conditionalFormatting sqref="D117:AF117">
    <cfRule type="expression" dxfId="6563" priority="9">
      <formula>D$9&gt;=20/24</formula>
    </cfRule>
    <cfRule type="expression" dxfId="6562" priority="10">
      <formula>AND(D$9&gt;=14/24,D$9&lt;20/24)</formula>
    </cfRule>
    <cfRule type="expression" dxfId="6561" priority="11">
      <formula>AND(D$9&gt;=8/24,D$9&lt;14/24)</formula>
    </cfRule>
    <cfRule type="expression" dxfId="6560" priority="12">
      <formula>D$9&lt;8/24</formula>
    </cfRule>
  </conditionalFormatting>
  <conditionalFormatting sqref="C117">
    <cfRule type="expression" dxfId="6559" priority="5">
      <formula>C$9&gt;=20/24</formula>
    </cfRule>
    <cfRule type="expression" dxfId="6558" priority="6">
      <formula>AND(C$9&gt;=14/24,C$9&lt;20/24)</formula>
    </cfRule>
    <cfRule type="expression" dxfId="6557" priority="7">
      <formula>AND(C$9&gt;=8/24,C$9&lt;14/24)</formula>
    </cfRule>
    <cfRule type="expression" dxfId="6556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B73572F9-9684-406F-A1A3-B7442F68271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CCA234F4-CA50-4208-87C0-2A47C590FF1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2A4CD044-1841-4C49-8CED-5BD25054114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BEFACE95-7242-4034-B5F3-5A6F23CA1BB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210DB214-2F28-49FE-BA3D-CAF3396376E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48A82044-A378-4C86-860D-FF1BBC991C4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61C7FF77-AEB5-447B-BA77-05BB4CB03655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234AD365-A956-40D4-AC1A-E7870070AF3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Normal="100" workbookViewId="0">
      <pane ySplit="10" topLeftCell="A66" activePane="bottomLeft" state="frozen"/>
      <selection activeCell="Z85" sqref="Z85"/>
      <selection pane="bottomLeft" activeCell="Y113" sqref="Y113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7.57031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2079/12/10</v>
      </c>
      <c r="C4" s="236"/>
      <c r="D4" s="236"/>
      <c r="E4" s="237" t="str">
        <f ca="1">"2079/"&amp;"12/"&amp;INT(MID(CELL("filename",G6),FIND("]",CELL("filename",G6))+1,200))</f>
        <v>2079/12/10</v>
      </c>
      <c r="F4" s="237"/>
      <c r="G4" s="237"/>
      <c r="H4" s="237" t="str">
        <f ca="1">TEXT(E4,"dddd")</f>
        <v>Sunday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512.4</v>
      </c>
      <c r="C5" s="33">
        <f t="shared" si="0"/>
        <v>504.79999999999995</v>
      </c>
      <c r="D5" s="33">
        <f t="shared" si="0"/>
        <v>504.79999999999995</v>
      </c>
      <c r="E5" s="33">
        <f t="shared" si="0"/>
        <v>567.20000000000005</v>
      </c>
      <c r="F5" s="33">
        <f t="shared" si="0"/>
        <v>555.5</v>
      </c>
      <c r="G5" s="33">
        <f t="shared" si="0"/>
        <v>547.70000000000005</v>
      </c>
      <c r="H5" s="33">
        <f t="shared" si="0"/>
        <v>560</v>
      </c>
      <c r="I5" s="33">
        <f t="shared" si="0"/>
        <v>557.4</v>
      </c>
      <c r="J5" s="33">
        <f t="shared" si="0"/>
        <v>583.69999999999993</v>
      </c>
      <c r="K5" s="33">
        <f t="shared" si="0"/>
        <v>596.04</v>
      </c>
      <c r="L5" s="33">
        <f t="shared" si="0"/>
        <v>612.09999999999991</v>
      </c>
      <c r="M5" s="33">
        <f t="shared" si="0"/>
        <v>638.1</v>
      </c>
      <c r="N5" s="33">
        <f t="shared" si="0"/>
        <v>655.7</v>
      </c>
      <c r="O5" s="33">
        <f t="shared" si="0"/>
        <v>647.5</v>
      </c>
      <c r="P5" s="33">
        <f t="shared" si="0"/>
        <v>645.4</v>
      </c>
      <c r="Q5" s="33">
        <f t="shared" si="0"/>
        <v>651.5</v>
      </c>
      <c r="R5" s="33">
        <f t="shared" si="0"/>
        <v>643.6</v>
      </c>
      <c r="S5" s="33">
        <f t="shared" si="0"/>
        <v>655</v>
      </c>
      <c r="T5" s="33">
        <f t="shared" si="0"/>
        <v>666</v>
      </c>
      <c r="U5" s="33">
        <f t="shared" si="0"/>
        <v>622.1</v>
      </c>
      <c r="V5" s="33">
        <f t="shared" si="0"/>
        <v>585.1</v>
      </c>
      <c r="W5" s="33">
        <f t="shared" si="0"/>
        <v>569.4</v>
      </c>
      <c r="X5" s="33">
        <f t="shared" si="0"/>
        <v>557.9</v>
      </c>
      <c r="Y5" s="33">
        <f t="shared" si="0"/>
        <v>578.4</v>
      </c>
      <c r="Z5" s="33">
        <f t="shared" si="0"/>
        <v>559</v>
      </c>
      <c r="AA5" s="33">
        <f t="shared" si="0"/>
        <v>517.5</v>
      </c>
      <c r="AB5" s="33">
        <f t="shared" si="0"/>
        <v>560.20000000000005</v>
      </c>
      <c r="AC5" s="33">
        <f t="shared" si="0"/>
        <v>548.20000000000005</v>
      </c>
      <c r="AD5" s="33">
        <f t="shared" si="0"/>
        <v>518.70000000000005</v>
      </c>
      <c r="AE5" s="33">
        <f t="shared" si="0"/>
        <v>518.70000000000005</v>
      </c>
      <c r="AF5" s="33">
        <f>B82</f>
        <v>395.4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1465MW at 9:00hr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Load=1193</v>
      </c>
      <c r="B7" s="38">
        <f t="shared" ref="B7:AF7" si="1">B89</f>
        <v>1316.34</v>
      </c>
      <c r="C7" s="38">
        <f t="shared" si="1"/>
        <v>1313.34</v>
      </c>
      <c r="D7" s="38">
        <f t="shared" si="1"/>
        <v>1237.54</v>
      </c>
      <c r="E7" s="38">
        <f t="shared" si="1"/>
        <v>1192.7399999999998</v>
      </c>
      <c r="F7" s="38">
        <f t="shared" si="1"/>
        <v>1222.24</v>
      </c>
      <c r="G7" s="38">
        <f t="shared" si="1"/>
        <v>1272.04</v>
      </c>
      <c r="H7" s="38">
        <f t="shared" si="1"/>
        <v>1263.44</v>
      </c>
      <c r="I7" s="38">
        <f t="shared" si="1"/>
        <v>1226.1399999999999</v>
      </c>
      <c r="J7" s="38">
        <f t="shared" si="1"/>
        <v>1377.08</v>
      </c>
      <c r="K7" s="38">
        <f t="shared" si="1"/>
        <v>1410.7399999999998</v>
      </c>
      <c r="L7" s="38">
        <f t="shared" si="1"/>
        <v>1446.7799999999997</v>
      </c>
      <c r="M7" s="38">
        <f t="shared" si="1"/>
        <v>1453.9399999999998</v>
      </c>
      <c r="N7" s="38">
        <f>N89</f>
        <v>1464.84</v>
      </c>
      <c r="O7" s="38">
        <f t="shared" si="1"/>
        <v>1505.54</v>
      </c>
      <c r="P7" s="38">
        <f t="shared" si="1"/>
        <v>1515.34</v>
      </c>
      <c r="Q7" s="38">
        <f t="shared" si="1"/>
        <v>1464.04</v>
      </c>
      <c r="R7" s="38">
        <f t="shared" si="1"/>
        <v>1487.8400000000001</v>
      </c>
      <c r="S7" s="38">
        <f t="shared" si="1"/>
        <v>1494.6399999999999</v>
      </c>
      <c r="T7" s="38">
        <f t="shared" si="1"/>
        <v>1516.3400000000001</v>
      </c>
      <c r="U7" s="38">
        <f t="shared" si="1"/>
        <v>1497.3400000000001</v>
      </c>
      <c r="V7" s="38">
        <f t="shared" si="1"/>
        <v>1444.44</v>
      </c>
      <c r="W7" s="38">
        <f t="shared" si="1"/>
        <v>1485.44</v>
      </c>
      <c r="X7" s="38">
        <f t="shared" si="1"/>
        <v>1492.34</v>
      </c>
      <c r="Y7" s="38">
        <f t="shared" si="1"/>
        <v>1557.34</v>
      </c>
      <c r="Z7" s="38">
        <f t="shared" si="1"/>
        <v>1565.7399999999998</v>
      </c>
      <c r="AA7" s="38">
        <f t="shared" si="1"/>
        <v>1559.64</v>
      </c>
      <c r="AB7" s="38">
        <f t="shared" si="1"/>
        <v>1420.1399999999999</v>
      </c>
      <c r="AC7" s="38">
        <f t="shared" si="1"/>
        <v>1397.1399999999999</v>
      </c>
      <c r="AD7" s="38">
        <f t="shared" si="1"/>
        <v>1245.1399999999999</v>
      </c>
      <c r="AE7" s="38">
        <f t="shared" si="1"/>
        <v>1215.6399999999999</v>
      </c>
      <c r="AF7" s="38">
        <f t="shared" si="1"/>
        <v>1238.44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24</v>
      </c>
      <c r="C11" s="50">
        <v>24</v>
      </c>
      <c r="D11" s="50">
        <v>24</v>
      </c>
      <c r="E11" s="50">
        <v>24</v>
      </c>
      <c r="F11" s="50">
        <v>24</v>
      </c>
      <c r="G11" s="50">
        <v>24</v>
      </c>
      <c r="H11" s="50">
        <v>24</v>
      </c>
      <c r="I11" s="50">
        <v>24</v>
      </c>
      <c r="J11" s="50">
        <v>24</v>
      </c>
      <c r="K11" s="50">
        <v>24</v>
      </c>
      <c r="L11" s="50">
        <v>24</v>
      </c>
      <c r="M11" s="50">
        <v>26</v>
      </c>
      <c r="N11" s="50">
        <v>26</v>
      </c>
      <c r="O11" s="50">
        <v>26</v>
      </c>
      <c r="P11" s="50">
        <v>26</v>
      </c>
      <c r="Q11" s="50">
        <v>26</v>
      </c>
      <c r="R11" s="50">
        <v>26</v>
      </c>
      <c r="S11" s="50">
        <v>26</v>
      </c>
      <c r="T11" s="50">
        <v>26</v>
      </c>
      <c r="U11" s="50">
        <v>26</v>
      </c>
      <c r="V11" s="50">
        <v>26</v>
      </c>
      <c r="W11" s="50">
        <v>26</v>
      </c>
      <c r="X11" s="50">
        <v>26</v>
      </c>
      <c r="Y11" s="50">
        <v>26</v>
      </c>
      <c r="Z11" s="50">
        <v>26</v>
      </c>
      <c r="AA11" s="50">
        <v>26</v>
      </c>
      <c r="AB11" s="50">
        <v>26</v>
      </c>
      <c r="AC11" s="50">
        <v>26</v>
      </c>
      <c r="AD11" s="50">
        <v>26</v>
      </c>
      <c r="AE11" s="50">
        <v>26</v>
      </c>
      <c r="AF11" s="50">
        <v>26</v>
      </c>
      <c r="AG11" s="51">
        <v>86</v>
      </c>
      <c r="AH11" s="52">
        <f t="shared" ref="AH11:AH74" si="2">MAX(B11:AF11)</f>
        <v>26</v>
      </c>
      <c r="AI11" s="53">
        <f t="shared" ref="AI11:AI74" si="3">MIN(B11:AF11)</f>
        <v>24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14.6</v>
      </c>
      <c r="C12" s="50">
        <v>14.6</v>
      </c>
      <c r="D12" s="50">
        <v>14.6</v>
      </c>
      <c r="E12" s="50">
        <v>14.6</v>
      </c>
      <c r="F12" s="50">
        <v>14.6</v>
      </c>
      <c r="G12" s="50">
        <v>14.6</v>
      </c>
      <c r="H12" s="50">
        <v>14.6</v>
      </c>
      <c r="I12" s="50">
        <v>14.6</v>
      </c>
      <c r="J12" s="50">
        <v>14.6</v>
      </c>
      <c r="K12" s="50">
        <v>14.6</v>
      </c>
      <c r="L12" s="50">
        <v>14.6</v>
      </c>
      <c r="M12" s="50">
        <v>15.6</v>
      </c>
      <c r="N12" s="50">
        <v>15.6</v>
      </c>
      <c r="O12" s="50">
        <v>15.6</v>
      </c>
      <c r="P12" s="50">
        <v>15.6</v>
      </c>
      <c r="Q12" s="50">
        <v>13</v>
      </c>
      <c r="R12" s="50">
        <v>13</v>
      </c>
      <c r="S12" s="50">
        <v>13</v>
      </c>
      <c r="T12" s="50">
        <v>13</v>
      </c>
      <c r="U12" s="50">
        <v>13</v>
      </c>
      <c r="V12" s="50">
        <v>13</v>
      </c>
      <c r="W12" s="50">
        <v>13</v>
      </c>
      <c r="X12" s="50">
        <v>13</v>
      </c>
      <c r="Y12" s="50">
        <v>13</v>
      </c>
      <c r="Z12" s="50">
        <v>13</v>
      </c>
      <c r="AA12" s="50">
        <v>13</v>
      </c>
      <c r="AB12" s="50">
        <v>13</v>
      </c>
      <c r="AC12" s="50">
        <v>13</v>
      </c>
      <c r="AD12" s="50">
        <v>13</v>
      </c>
      <c r="AE12" s="50">
        <v>13</v>
      </c>
      <c r="AF12" s="50">
        <v>13</v>
      </c>
      <c r="AG12" s="51">
        <v>52.4</v>
      </c>
      <c r="AH12" s="52">
        <f t="shared" si="2"/>
        <v>15.6</v>
      </c>
      <c r="AI12" s="53">
        <f t="shared" si="3"/>
        <v>13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47.3</v>
      </c>
      <c r="C13" s="50">
        <v>47.3</v>
      </c>
      <c r="D13" s="50">
        <v>47.3</v>
      </c>
      <c r="E13" s="50">
        <v>47.3</v>
      </c>
      <c r="F13" s="50">
        <v>47.3</v>
      </c>
      <c r="G13" s="50">
        <v>47.3</v>
      </c>
      <c r="H13" s="50">
        <v>47.3</v>
      </c>
      <c r="I13" s="50">
        <v>47.3</v>
      </c>
      <c r="J13" s="50">
        <v>47.3</v>
      </c>
      <c r="K13" s="50">
        <v>47.3</v>
      </c>
      <c r="L13" s="50">
        <v>47.3</v>
      </c>
      <c r="M13" s="50">
        <v>47.3</v>
      </c>
      <c r="N13" s="50">
        <v>47.3</v>
      </c>
      <c r="O13" s="50">
        <v>47.3</v>
      </c>
      <c r="P13" s="50">
        <v>47.3</v>
      </c>
      <c r="Q13" s="50">
        <v>31.2</v>
      </c>
      <c r="R13" s="50">
        <v>31.2</v>
      </c>
      <c r="S13" s="50">
        <v>31.2</v>
      </c>
      <c r="T13" s="50">
        <v>31.2</v>
      </c>
      <c r="U13" s="50">
        <v>31.2</v>
      </c>
      <c r="V13" s="50">
        <v>31.2</v>
      </c>
      <c r="W13" s="50">
        <v>31.2</v>
      </c>
      <c r="X13" s="50">
        <v>31.2</v>
      </c>
      <c r="Y13" s="50">
        <v>31.2</v>
      </c>
      <c r="Z13" s="50">
        <v>31.2</v>
      </c>
      <c r="AA13" s="50">
        <v>31.2</v>
      </c>
      <c r="AB13" s="50">
        <v>31.2</v>
      </c>
      <c r="AC13" s="50">
        <v>31.2</v>
      </c>
      <c r="AD13" s="50">
        <v>31.2</v>
      </c>
      <c r="AE13" s="50">
        <v>31.2</v>
      </c>
      <c r="AF13" s="50">
        <v>31.2</v>
      </c>
      <c r="AG13" s="55">
        <v>50</v>
      </c>
      <c r="AH13" s="52">
        <f t="shared" si="2"/>
        <v>47.3</v>
      </c>
      <c r="AI13" s="53">
        <f t="shared" si="3"/>
        <v>31.2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17.399999999999999</v>
      </c>
      <c r="C14" s="50">
        <v>17.399999999999999</v>
      </c>
      <c r="D14" s="50">
        <v>17.399999999999999</v>
      </c>
      <c r="E14" s="50">
        <v>17.399999999999999</v>
      </c>
      <c r="F14" s="50">
        <v>17.399999999999999</v>
      </c>
      <c r="G14" s="50">
        <v>17.399999999999999</v>
      </c>
      <c r="H14" s="50">
        <v>17.399999999999999</v>
      </c>
      <c r="I14" s="50">
        <v>17.399999999999999</v>
      </c>
      <c r="J14" s="50">
        <v>17.399999999999999</v>
      </c>
      <c r="K14" s="50">
        <v>17.399999999999999</v>
      </c>
      <c r="L14" s="50">
        <v>17.399999999999999</v>
      </c>
      <c r="M14" s="50">
        <v>15.6</v>
      </c>
      <c r="N14" s="50">
        <v>15.6</v>
      </c>
      <c r="O14" s="50">
        <v>15.6</v>
      </c>
      <c r="P14" s="50">
        <v>15.6</v>
      </c>
      <c r="Q14" s="50">
        <v>14.5</v>
      </c>
      <c r="R14" s="50">
        <v>14.5</v>
      </c>
      <c r="S14" s="50">
        <v>14.5</v>
      </c>
      <c r="T14" s="50">
        <v>14.5</v>
      </c>
      <c r="U14" s="50">
        <v>14.5</v>
      </c>
      <c r="V14" s="50">
        <v>14.5</v>
      </c>
      <c r="W14" s="50">
        <v>14.5</v>
      </c>
      <c r="X14" s="50">
        <v>14.5</v>
      </c>
      <c r="Y14" s="50">
        <v>14.5</v>
      </c>
      <c r="Z14" s="50">
        <v>14.5</v>
      </c>
      <c r="AA14" s="50">
        <v>14.5</v>
      </c>
      <c r="AB14" s="50">
        <v>14.5</v>
      </c>
      <c r="AC14" s="50">
        <v>14.5</v>
      </c>
      <c r="AD14" s="50">
        <v>14.5</v>
      </c>
      <c r="AE14" s="50">
        <v>14.5</v>
      </c>
      <c r="AF14" s="50">
        <v>14.5</v>
      </c>
      <c r="AG14" s="55">
        <v>45</v>
      </c>
      <c r="AH14" s="52">
        <f t="shared" si="2"/>
        <v>17.399999999999999</v>
      </c>
      <c r="AI14" s="53">
        <f t="shared" si="3"/>
        <v>14.5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12.9</v>
      </c>
      <c r="C15" s="50">
        <v>12.9</v>
      </c>
      <c r="D15" s="50">
        <v>12.9</v>
      </c>
      <c r="E15" s="50">
        <v>12.9</v>
      </c>
      <c r="F15" s="50">
        <v>12.9</v>
      </c>
      <c r="G15" s="50">
        <v>12.9</v>
      </c>
      <c r="H15" s="50">
        <v>12.9</v>
      </c>
      <c r="I15" s="50">
        <v>12.9</v>
      </c>
      <c r="J15" s="50">
        <v>12.9</v>
      </c>
      <c r="K15" s="50">
        <v>12.9</v>
      </c>
      <c r="L15" s="50">
        <v>12.9</v>
      </c>
      <c r="M15" s="50">
        <v>12</v>
      </c>
      <c r="N15" s="50">
        <v>12</v>
      </c>
      <c r="O15" s="50">
        <v>12</v>
      </c>
      <c r="P15" s="50">
        <v>12</v>
      </c>
      <c r="Q15" s="50">
        <v>8</v>
      </c>
      <c r="R15" s="50">
        <v>8</v>
      </c>
      <c r="S15" s="50">
        <v>8</v>
      </c>
      <c r="T15" s="50">
        <v>8</v>
      </c>
      <c r="U15" s="50">
        <v>8</v>
      </c>
      <c r="V15" s="50">
        <v>8</v>
      </c>
      <c r="W15" s="50">
        <v>8</v>
      </c>
      <c r="X15" s="50">
        <v>8</v>
      </c>
      <c r="Y15" s="50">
        <v>8</v>
      </c>
      <c r="Z15" s="50">
        <v>8</v>
      </c>
      <c r="AA15" s="50">
        <v>8</v>
      </c>
      <c r="AB15" s="50">
        <v>8</v>
      </c>
      <c r="AC15" s="50">
        <v>8</v>
      </c>
      <c r="AD15" s="50">
        <v>8</v>
      </c>
      <c r="AE15" s="50">
        <v>8</v>
      </c>
      <c r="AF15" s="50">
        <v>8</v>
      </c>
      <c r="AG15" s="55">
        <v>42</v>
      </c>
      <c r="AH15" s="52">
        <f t="shared" si="2"/>
        <v>12.9</v>
      </c>
      <c r="AI15" s="53">
        <f t="shared" si="3"/>
        <v>8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14</v>
      </c>
      <c r="C16" s="50">
        <v>14</v>
      </c>
      <c r="D16" s="50">
        <v>14</v>
      </c>
      <c r="E16" s="50">
        <v>14</v>
      </c>
      <c r="F16" s="50">
        <v>14</v>
      </c>
      <c r="G16" s="50">
        <v>14</v>
      </c>
      <c r="H16" s="50">
        <v>14</v>
      </c>
      <c r="I16" s="50">
        <v>14</v>
      </c>
      <c r="J16" s="50">
        <v>14</v>
      </c>
      <c r="K16" s="50">
        <v>14</v>
      </c>
      <c r="L16" s="50">
        <v>14</v>
      </c>
      <c r="M16" s="50">
        <v>14</v>
      </c>
      <c r="N16" s="50">
        <v>14</v>
      </c>
      <c r="O16" s="50">
        <v>14</v>
      </c>
      <c r="P16" s="50">
        <v>14</v>
      </c>
      <c r="Q16" s="50">
        <v>14</v>
      </c>
      <c r="R16" s="50">
        <v>14</v>
      </c>
      <c r="S16" s="50">
        <v>14</v>
      </c>
      <c r="T16" s="50">
        <v>14</v>
      </c>
      <c r="U16" s="50">
        <v>14</v>
      </c>
      <c r="V16" s="50">
        <v>14</v>
      </c>
      <c r="W16" s="50">
        <v>14</v>
      </c>
      <c r="X16" s="50">
        <v>14</v>
      </c>
      <c r="Y16" s="50">
        <v>14</v>
      </c>
      <c r="Z16" s="50">
        <v>14</v>
      </c>
      <c r="AA16" s="50">
        <v>14</v>
      </c>
      <c r="AB16" s="50">
        <v>14</v>
      </c>
      <c r="AC16" s="50">
        <v>14</v>
      </c>
      <c r="AD16" s="50">
        <v>14</v>
      </c>
      <c r="AE16" s="50">
        <v>14</v>
      </c>
      <c r="AF16" s="50">
        <v>14</v>
      </c>
      <c r="AG16" s="55">
        <v>36</v>
      </c>
      <c r="AH16" s="52">
        <f t="shared" si="2"/>
        <v>14</v>
      </c>
      <c r="AI16" s="53">
        <f t="shared" si="3"/>
        <v>14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9</v>
      </c>
      <c r="C18" s="50">
        <v>9</v>
      </c>
      <c r="D18" s="50">
        <v>9</v>
      </c>
      <c r="E18" s="50">
        <v>9</v>
      </c>
      <c r="F18" s="50">
        <v>9</v>
      </c>
      <c r="G18" s="50">
        <v>9</v>
      </c>
      <c r="H18" s="50">
        <v>9</v>
      </c>
      <c r="I18" s="50">
        <v>9</v>
      </c>
      <c r="J18" s="50">
        <v>9</v>
      </c>
      <c r="K18" s="50">
        <v>9</v>
      </c>
      <c r="L18" s="50">
        <v>9</v>
      </c>
      <c r="M18" s="50">
        <v>9</v>
      </c>
      <c r="N18" s="50">
        <v>9</v>
      </c>
      <c r="O18" s="50">
        <v>9</v>
      </c>
      <c r="P18" s="50">
        <v>9</v>
      </c>
      <c r="Q18" s="50">
        <v>8.4</v>
      </c>
      <c r="R18" s="50">
        <v>8.4</v>
      </c>
      <c r="S18" s="50">
        <v>8.4</v>
      </c>
      <c r="T18" s="50">
        <v>8.4</v>
      </c>
      <c r="U18" s="50">
        <v>8.4</v>
      </c>
      <c r="V18" s="50">
        <v>8.4</v>
      </c>
      <c r="W18" s="50">
        <v>8.4</v>
      </c>
      <c r="X18" s="50">
        <v>8.4</v>
      </c>
      <c r="Y18" s="50">
        <v>8.4</v>
      </c>
      <c r="Z18" s="50">
        <v>8.4</v>
      </c>
      <c r="AA18" s="50">
        <v>8.4</v>
      </c>
      <c r="AB18" s="50">
        <v>8.4</v>
      </c>
      <c r="AC18" s="50">
        <v>8.4</v>
      </c>
      <c r="AD18" s="50">
        <v>8.4</v>
      </c>
      <c r="AE18" s="50">
        <v>8.4</v>
      </c>
      <c r="AF18" s="50">
        <v>8.4</v>
      </c>
      <c r="AG18" s="56">
        <v>30</v>
      </c>
      <c r="AH18" s="52">
        <f t="shared" si="2"/>
        <v>9</v>
      </c>
      <c r="AI18" s="53">
        <f t="shared" si="3"/>
        <v>8.4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7.8</v>
      </c>
      <c r="C19" s="50">
        <v>7.8</v>
      </c>
      <c r="D19" s="50">
        <v>7.8</v>
      </c>
      <c r="E19" s="50">
        <v>7.8</v>
      </c>
      <c r="F19" s="50">
        <v>7.8</v>
      </c>
      <c r="G19" s="50">
        <v>7.8</v>
      </c>
      <c r="H19" s="50">
        <v>7.8</v>
      </c>
      <c r="I19" s="50">
        <v>7.8</v>
      </c>
      <c r="J19" s="50">
        <v>7.8</v>
      </c>
      <c r="K19" s="50">
        <v>7.8</v>
      </c>
      <c r="L19" s="50">
        <v>7.8</v>
      </c>
      <c r="M19" s="50">
        <v>6.6</v>
      </c>
      <c r="N19" s="50">
        <v>6.6</v>
      </c>
      <c r="O19" s="50">
        <v>6.6</v>
      </c>
      <c r="P19" s="50">
        <v>6.6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6.6</v>
      </c>
      <c r="AA19" s="50">
        <v>6.6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7.8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0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5">
        <v>28</v>
      </c>
      <c r="AH20" s="52">
        <f t="shared" si="2"/>
        <v>0</v>
      </c>
      <c r="AI20" s="53">
        <f t="shared" si="3"/>
        <v>0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6.5</v>
      </c>
      <c r="C21" s="50">
        <v>6.5</v>
      </c>
      <c r="D21" s="50">
        <v>6.5</v>
      </c>
      <c r="E21" s="50">
        <v>6.5</v>
      </c>
      <c r="F21" s="50">
        <v>6.5</v>
      </c>
      <c r="G21" s="50">
        <v>6.5</v>
      </c>
      <c r="H21" s="50">
        <v>6.5</v>
      </c>
      <c r="I21" s="50">
        <v>6.5</v>
      </c>
      <c r="J21" s="50">
        <v>6.5</v>
      </c>
      <c r="K21" s="50">
        <v>6.5</v>
      </c>
      <c r="L21" s="50">
        <v>6.5</v>
      </c>
      <c r="M21" s="50">
        <v>6.5</v>
      </c>
      <c r="N21" s="50">
        <v>6.5</v>
      </c>
      <c r="O21" s="50">
        <v>6.5</v>
      </c>
      <c r="P21" s="50">
        <v>6.5</v>
      </c>
      <c r="Q21" s="50">
        <v>6.5</v>
      </c>
      <c r="R21" s="50">
        <v>6.5</v>
      </c>
      <c r="S21" s="50">
        <v>6.5</v>
      </c>
      <c r="T21" s="50">
        <v>6.5</v>
      </c>
      <c r="U21" s="50">
        <v>6.5</v>
      </c>
      <c r="V21" s="50">
        <v>6.5</v>
      </c>
      <c r="W21" s="50">
        <v>6.5</v>
      </c>
      <c r="X21" s="50">
        <v>6.5</v>
      </c>
      <c r="Y21" s="50">
        <v>6.5</v>
      </c>
      <c r="Z21" s="50">
        <v>6.5</v>
      </c>
      <c r="AA21" s="50">
        <v>6.5</v>
      </c>
      <c r="AB21" s="50">
        <v>6.5</v>
      </c>
      <c r="AC21" s="50">
        <v>6.5</v>
      </c>
      <c r="AD21" s="50">
        <v>6.5</v>
      </c>
      <c r="AE21" s="50">
        <v>6.5</v>
      </c>
      <c r="AF21" s="50">
        <v>6.5</v>
      </c>
      <c r="AG21" s="56">
        <v>30</v>
      </c>
      <c r="AH21" s="52">
        <f t="shared" si="2"/>
        <v>6.5</v>
      </c>
      <c r="AI21" s="53">
        <f t="shared" si="3"/>
        <v>6.5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11</v>
      </c>
      <c r="C22" s="50">
        <v>11</v>
      </c>
      <c r="D22" s="50">
        <v>11</v>
      </c>
      <c r="E22" s="50">
        <v>11</v>
      </c>
      <c r="F22" s="50">
        <v>11</v>
      </c>
      <c r="G22" s="50">
        <v>11</v>
      </c>
      <c r="H22" s="50">
        <v>11</v>
      </c>
      <c r="I22" s="50">
        <v>11</v>
      </c>
      <c r="J22" s="50">
        <v>11</v>
      </c>
      <c r="K22" s="50">
        <v>11</v>
      </c>
      <c r="L22" s="50">
        <v>11</v>
      </c>
      <c r="M22" s="50">
        <v>11</v>
      </c>
      <c r="N22" s="50">
        <v>11</v>
      </c>
      <c r="O22" s="50">
        <v>11</v>
      </c>
      <c r="P22" s="50">
        <v>11</v>
      </c>
      <c r="Q22" s="50">
        <v>8.8000000000000007</v>
      </c>
      <c r="R22" s="50">
        <v>8.8000000000000007</v>
      </c>
      <c r="S22" s="50">
        <v>8.8000000000000007</v>
      </c>
      <c r="T22" s="50">
        <v>8.8000000000000007</v>
      </c>
      <c r="U22" s="50">
        <v>8.8000000000000007</v>
      </c>
      <c r="V22" s="50">
        <v>8.8000000000000007</v>
      </c>
      <c r="W22" s="50">
        <v>8.8000000000000007</v>
      </c>
      <c r="X22" s="50">
        <v>8.8000000000000007</v>
      </c>
      <c r="Y22" s="50">
        <v>8.8000000000000007</v>
      </c>
      <c r="Z22" s="50">
        <v>8.8000000000000007</v>
      </c>
      <c r="AA22" s="50">
        <v>8.8000000000000007</v>
      </c>
      <c r="AB22" s="50">
        <v>8.8000000000000007</v>
      </c>
      <c r="AC22" s="50">
        <v>8.8000000000000007</v>
      </c>
      <c r="AD22" s="50">
        <v>8.8000000000000007</v>
      </c>
      <c r="AE22" s="50">
        <v>8.8000000000000007</v>
      </c>
      <c r="AF22" s="50">
        <v>8.8000000000000007</v>
      </c>
      <c r="AG22" s="55">
        <v>25</v>
      </c>
      <c r="AH22" s="52">
        <f t="shared" si="2"/>
        <v>11</v>
      </c>
      <c r="AI22" s="53">
        <f t="shared" si="3"/>
        <v>8.8000000000000007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5">
        <v>25</v>
      </c>
      <c r="AH23" s="52">
        <f t="shared" si="2"/>
        <v>9</v>
      </c>
      <c r="AI23" s="53">
        <f t="shared" si="3"/>
        <v>9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5.9</v>
      </c>
      <c r="C26" s="50">
        <v>5.9</v>
      </c>
      <c r="D26" s="50">
        <v>5.9</v>
      </c>
      <c r="E26" s="50">
        <v>5.9</v>
      </c>
      <c r="F26" s="50">
        <v>5.9</v>
      </c>
      <c r="G26" s="50">
        <v>5.9</v>
      </c>
      <c r="H26" s="50">
        <v>5.9</v>
      </c>
      <c r="I26" s="50">
        <v>5.9</v>
      </c>
      <c r="J26" s="50">
        <v>5.9</v>
      </c>
      <c r="K26" s="50">
        <v>5.9</v>
      </c>
      <c r="L26" s="50">
        <v>5.9</v>
      </c>
      <c r="M26" s="50">
        <v>6.3</v>
      </c>
      <c r="N26" s="50">
        <v>6.3</v>
      </c>
      <c r="O26" s="50">
        <v>6.3</v>
      </c>
      <c r="P26" s="50">
        <v>6.3</v>
      </c>
      <c r="Q26" s="50">
        <v>6</v>
      </c>
      <c r="R26" s="50">
        <v>6</v>
      </c>
      <c r="S26" s="50">
        <v>6</v>
      </c>
      <c r="T26" s="50">
        <v>6</v>
      </c>
      <c r="U26" s="50">
        <v>6</v>
      </c>
      <c r="V26" s="50">
        <v>6</v>
      </c>
      <c r="W26" s="50">
        <v>6</v>
      </c>
      <c r="X26" s="50">
        <v>6</v>
      </c>
      <c r="Y26" s="50">
        <v>6</v>
      </c>
      <c r="Z26" s="50">
        <v>6</v>
      </c>
      <c r="AA26" s="50">
        <v>6</v>
      </c>
      <c r="AB26" s="50">
        <v>6</v>
      </c>
      <c r="AC26" s="50">
        <v>6</v>
      </c>
      <c r="AD26" s="50">
        <v>6</v>
      </c>
      <c r="AE26" s="50">
        <v>6</v>
      </c>
      <c r="AF26" s="50">
        <v>6</v>
      </c>
      <c r="AG26" s="55">
        <v>23.5</v>
      </c>
      <c r="AH26" s="52">
        <f t="shared" si="2"/>
        <v>6.3</v>
      </c>
      <c r="AI26" s="53">
        <f t="shared" si="3"/>
        <v>5.9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5">
        <v>22</v>
      </c>
      <c r="AH29" s="52">
        <f t="shared" si="2"/>
        <v>4</v>
      </c>
      <c r="AI29" s="53">
        <f t="shared" si="3"/>
        <v>4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6.7</v>
      </c>
      <c r="C30" s="50">
        <v>6.7</v>
      </c>
      <c r="D30" s="50">
        <v>6.7</v>
      </c>
      <c r="E30" s="50">
        <v>6.7</v>
      </c>
      <c r="F30" s="50">
        <v>6.7</v>
      </c>
      <c r="G30" s="50">
        <v>6.7</v>
      </c>
      <c r="H30" s="50">
        <v>6.7</v>
      </c>
      <c r="I30" s="50">
        <v>6.7</v>
      </c>
      <c r="J30" s="50">
        <v>6.7</v>
      </c>
      <c r="K30" s="50">
        <v>6.7</v>
      </c>
      <c r="L30" s="50">
        <v>6.7</v>
      </c>
      <c r="M30" s="50">
        <v>9</v>
      </c>
      <c r="N30" s="50">
        <v>9</v>
      </c>
      <c r="O30" s="50">
        <v>9</v>
      </c>
      <c r="P30" s="50">
        <v>9</v>
      </c>
      <c r="Q30" s="50">
        <v>6</v>
      </c>
      <c r="R30" s="50">
        <v>6</v>
      </c>
      <c r="S30" s="50">
        <v>6</v>
      </c>
      <c r="T30" s="50">
        <v>6</v>
      </c>
      <c r="U30" s="50">
        <v>6</v>
      </c>
      <c r="V30" s="50">
        <v>6</v>
      </c>
      <c r="W30" s="50">
        <v>6</v>
      </c>
      <c r="X30" s="50">
        <v>6</v>
      </c>
      <c r="Y30" s="50">
        <v>6</v>
      </c>
      <c r="Z30" s="50">
        <v>6</v>
      </c>
      <c r="AA30" s="50">
        <v>6</v>
      </c>
      <c r="AB30" s="50">
        <v>6</v>
      </c>
      <c r="AC30" s="50">
        <v>6</v>
      </c>
      <c r="AD30" s="50">
        <v>6</v>
      </c>
      <c r="AE30" s="50">
        <v>6</v>
      </c>
      <c r="AF30" s="50">
        <v>6</v>
      </c>
      <c r="AG30" s="55">
        <v>22</v>
      </c>
      <c r="AH30" s="52">
        <f t="shared" si="2"/>
        <v>9</v>
      </c>
      <c r="AI30" s="53">
        <f t="shared" si="3"/>
        <v>6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55">
        <v>20</v>
      </c>
      <c r="AH31" s="52">
        <f t="shared" si="2"/>
        <v>6</v>
      </c>
      <c r="AI31" s="53">
        <f t="shared" si="3"/>
        <v>6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>
        <v>4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5.2</v>
      </c>
      <c r="C38" s="50">
        <v>5.2</v>
      </c>
      <c r="D38" s="50">
        <v>5.2</v>
      </c>
      <c r="E38" s="50">
        <v>5.2</v>
      </c>
      <c r="F38" s="50">
        <v>5.2</v>
      </c>
      <c r="G38" s="50">
        <v>5.2</v>
      </c>
      <c r="H38" s="50">
        <v>5.2</v>
      </c>
      <c r="I38" s="50">
        <v>5.2</v>
      </c>
      <c r="J38" s="50">
        <v>5.2</v>
      </c>
      <c r="K38" s="50">
        <v>5.2</v>
      </c>
      <c r="L38" s="50">
        <v>5.2</v>
      </c>
      <c r="M38" s="50">
        <v>5.2</v>
      </c>
      <c r="N38" s="50">
        <v>5.2</v>
      </c>
      <c r="O38" s="50">
        <v>5.2</v>
      </c>
      <c r="P38" s="50">
        <v>5.2</v>
      </c>
      <c r="Q38" s="50">
        <v>5.2</v>
      </c>
      <c r="R38" s="50">
        <v>5.2</v>
      </c>
      <c r="S38" s="50">
        <v>5.2</v>
      </c>
      <c r="T38" s="50">
        <v>5.2</v>
      </c>
      <c r="U38" s="50">
        <v>5.2</v>
      </c>
      <c r="V38" s="50">
        <v>5.2</v>
      </c>
      <c r="W38" s="50">
        <v>5.2</v>
      </c>
      <c r="X38" s="50">
        <v>5.2</v>
      </c>
      <c r="Y38" s="50">
        <v>5.2</v>
      </c>
      <c r="Z38" s="50">
        <v>5.2</v>
      </c>
      <c r="AA38" s="50">
        <v>5.2</v>
      </c>
      <c r="AB38" s="50">
        <v>5.2</v>
      </c>
      <c r="AC38" s="50">
        <v>5.2</v>
      </c>
      <c r="AD38" s="50">
        <v>5.2</v>
      </c>
      <c r="AE38" s="50">
        <v>5.2</v>
      </c>
      <c r="AF38" s="50">
        <v>5.2</v>
      </c>
      <c r="AG38" s="55">
        <v>12</v>
      </c>
      <c r="AH38" s="52">
        <f t="shared" si="2"/>
        <v>5.2</v>
      </c>
      <c r="AI38" s="53">
        <f t="shared" si="3"/>
        <v>5.2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50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3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50">
        <v>120</v>
      </c>
      <c r="C46" s="50">
        <v>120</v>
      </c>
      <c r="D46" s="50">
        <v>120</v>
      </c>
      <c r="E46" s="50">
        <v>120</v>
      </c>
      <c r="F46" s="50">
        <v>120</v>
      </c>
      <c r="G46" s="50">
        <v>120</v>
      </c>
      <c r="H46" s="50">
        <v>120</v>
      </c>
      <c r="I46" s="50">
        <v>120</v>
      </c>
      <c r="J46" s="50">
        <v>120</v>
      </c>
      <c r="K46" s="50">
        <v>120</v>
      </c>
      <c r="L46" s="50">
        <v>120</v>
      </c>
      <c r="M46" s="50">
        <v>120</v>
      </c>
      <c r="N46" s="50">
        <v>120</v>
      </c>
      <c r="O46" s="50">
        <v>120</v>
      </c>
      <c r="P46" s="50">
        <v>120</v>
      </c>
      <c r="Q46" s="50">
        <v>120</v>
      </c>
      <c r="R46" s="50">
        <v>120</v>
      </c>
      <c r="S46" s="50">
        <v>120</v>
      </c>
      <c r="T46" s="50">
        <v>120</v>
      </c>
      <c r="U46" s="50">
        <v>120</v>
      </c>
      <c r="V46" s="50">
        <v>120</v>
      </c>
      <c r="W46" s="50">
        <v>120</v>
      </c>
      <c r="X46" s="50">
        <v>120</v>
      </c>
      <c r="Y46" s="50">
        <v>120</v>
      </c>
      <c r="Z46" s="63">
        <v>120</v>
      </c>
      <c r="AA46" s="63">
        <v>120</v>
      </c>
      <c r="AB46" s="63">
        <v>120</v>
      </c>
      <c r="AC46" s="63">
        <v>120</v>
      </c>
      <c r="AD46" s="63">
        <v>120</v>
      </c>
      <c r="AE46" s="63">
        <v>120</v>
      </c>
      <c r="AF46" s="63">
        <v>120</v>
      </c>
      <c r="AG46" s="61">
        <v>85</v>
      </c>
      <c r="AH46" s="52">
        <f t="shared" si="2"/>
        <v>120</v>
      </c>
      <c r="AI46" s="53">
        <f t="shared" si="3"/>
        <v>120</v>
      </c>
      <c r="AK46" s="54"/>
    </row>
    <row r="47" spans="1:88" ht="15.75" thickBot="1" x14ac:dyDescent="0.3">
      <c r="A47" s="64" t="s">
        <v>55</v>
      </c>
      <c r="B47" s="50">
        <v>0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 t="shared" ref="B48:AG48" si="4">SUM(B12:B46)</f>
        <v>370.59999999999997</v>
      </c>
      <c r="C48" s="67">
        <f t="shared" si="4"/>
        <v>370.59999999999997</v>
      </c>
      <c r="D48" s="67">
        <f t="shared" si="4"/>
        <v>370.59999999999997</v>
      </c>
      <c r="E48" s="67">
        <f t="shared" si="4"/>
        <v>370.59999999999997</v>
      </c>
      <c r="F48" s="67">
        <f t="shared" si="4"/>
        <v>370.59999999999997</v>
      </c>
      <c r="G48" s="67">
        <f t="shared" si="4"/>
        <v>370.59999999999997</v>
      </c>
      <c r="H48" s="67">
        <f t="shared" si="4"/>
        <v>370.59999999999997</v>
      </c>
      <c r="I48" s="67">
        <f t="shared" si="4"/>
        <v>370.59999999999997</v>
      </c>
      <c r="J48" s="67">
        <f t="shared" si="4"/>
        <v>370.59999999999997</v>
      </c>
      <c r="K48" s="67">
        <f t="shared" si="4"/>
        <v>370.59999999999997</v>
      </c>
      <c r="L48" s="67">
        <f t="shared" si="4"/>
        <v>370.59999999999997</v>
      </c>
      <c r="M48" s="67">
        <f t="shared" si="4"/>
        <v>370.4</v>
      </c>
      <c r="N48" s="67">
        <f t="shared" si="4"/>
        <v>370.4</v>
      </c>
      <c r="O48" s="67">
        <f t="shared" si="4"/>
        <v>370.4</v>
      </c>
      <c r="P48" s="67">
        <f t="shared" si="4"/>
        <v>370.4</v>
      </c>
      <c r="Q48" s="67">
        <f t="shared" si="4"/>
        <v>340.5</v>
      </c>
      <c r="R48" s="67">
        <f t="shared" si="4"/>
        <v>340.5</v>
      </c>
      <c r="S48" s="67">
        <f t="shared" si="4"/>
        <v>340.5</v>
      </c>
      <c r="T48" s="67">
        <f t="shared" ref="T48" si="5">SUM(T12:T46)</f>
        <v>340.5</v>
      </c>
      <c r="U48" s="67">
        <f t="shared" si="4"/>
        <v>340.5</v>
      </c>
      <c r="V48" s="67">
        <f t="shared" ref="V48:W48" si="6">SUM(V12:V46)</f>
        <v>340.5</v>
      </c>
      <c r="W48" s="67">
        <f t="shared" si="6"/>
        <v>340.5</v>
      </c>
      <c r="X48" s="67">
        <f t="shared" ref="X48" si="7">SUM(X12:X46)</f>
        <v>340.5</v>
      </c>
      <c r="Y48" s="67">
        <f t="shared" si="4"/>
        <v>340.5</v>
      </c>
      <c r="Z48" s="67">
        <v>340.5</v>
      </c>
      <c r="AA48" s="67">
        <f t="shared" si="4"/>
        <v>340.5</v>
      </c>
      <c r="AB48" s="67">
        <f t="shared" si="4"/>
        <v>340.5</v>
      </c>
      <c r="AC48" s="67">
        <f t="shared" si="4"/>
        <v>340.5</v>
      </c>
      <c r="AD48" s="67">
        <f t="shared" si="4"/>
        <v>340.5</v>
      </c>
      <c r="AE48" s="67">
        <f t="shared" si="4"/>
        <v>340.5</v>
      </c>
      <c r="AF48" s="67">
        <f t="shared" ref="AF48" si="8">SUM(AF12:AF46)</f>
        <v>340.5</v>
      </c>
      <c r="AG48" s="68">
        <f t="shared" si="4"/>
        <v>875.68</v>
      </c>
      <c r="AH48" s="52">
        <f t="shared" si="2"/>
        <v>370.59999999999997</v>
      </c>
      <c r="AI48" s="53">
        <f t="shared" si="3"/>
        <v>340.5</v>
      </c>
      <c r="AK48" s="54"/>
    </row>
    <row r="49" spans="1:41" x14ac:dyDescent="0.25">
      <c r="A49" s="69" t="s">
        <v>57</v>
      </c>
      <c r="B49" s="50">
        <v>200</v>
      </c>
      <c r="C49" s="50">
        <v>80</v>
      </c>
      <c r="D49" s="50">
        <v>30</v>
      </c>
      <c r="E49" s="50">
        <v>15</v>
      </c>
      <c r="F49" s="50">
        <v>15</v>
      </c>
      <c r="G49" s="50">
        <v>15</v>
      </c>
      <c r="H49" s="50">
        <v>15</v>
      </c>
      <c r="I49" s="50">
        <v>35</v>
      </c>
      <c r="J49" s="50">
        <v>15</v>
      </c>
      <c r="K49" s="50">
        <v>0</v>
      </c>
      <c r="L49" s="50">
        <v>0</v>
      </c>
      <c r="M49" s="70">
        <v>0</v>
      </c>
      <c r="N49" s="70">
        <v>0</v>
      </c>
      <c r="O49" s="50">
        <v>0</v>
      </c>
      <c r="P49" s="50">
        <v>0</v>
      </c>
      <c r="Q49" s="50">
        <v>30</v>
      </c>
      <c r="R49" s="50">
        <v>30</v>
      </c>
      <c r="S49" s="50">
        <v>30</v>
      </c>
      <c r="T49" s="50">
        <v>60</v>
      </c>
      <c r="U49" s="50">
        <v>30</v>
      </c>
      <c r="V49" s="50">
        <v>25</v>
      </c>
      <c r="W49" s="50">
        <v>25</v>
      </c>
      <c r="X49" s="50">
        <v>50</v>
      </c>
      <c r="Y49" s="50">
        <v>75</v>
      </c>
      <c r="Z49" s="50">
        <v>70</v>
      </c>
      <c r="AA49" s="50">
        <v>100</v>
      </c>
      <c r="AB49" s="50">
        <v>80</v>
      </c>
      <c r="AC49" s="50">
        <v>80</v>
      </c>
      <c r="AD49" s="50">
        <v>40</v>
      </c>
      <c r="AE49" s="50">
        <v>40</v>
      </c>
      <c r="AF49" s="50">
        <v>40</v>
      </c>
      <c r="AG49" s="56">
        <v>456</v>
      </c>
      <c r="AH49" s="52">
        <f t="shared" si="2"/>
        <v>200</v>
      </c>
      <c r="AI49" s="53">
        <f t="shared" si="3"/>
        <v>0</v>
      </c>
      <c r="AK49" s="54"/>
    </row>
    <row r="50" spans="1:41" x14ac:dyDescent="0.25">
      <c r="A50" s="71" t="s">
        <v>58</v>
      </c>
      <c r="B50" s="50">
        <v>25</v>
      </c>
      <c r="C50" s="50">
        <v>25</v>
      </c>
      <c r="D50" s="50">
        <v>25</v>
      </c>
      <c r="E50" s="50">
        <v>25</v>
      </c>
      <c r="F50" s="50">
        <v>25</v>
      </c>
      <c r="G50" s="50">
        <v>25</v>
      </c>
      <c r="H50" s="50">
        <v>25</v>
      </c>
      <c r="I50" s="50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25</v>
      </c>
      <c r="O50" s="72">
        <v>25</v>
      </c>
      <c r="P50" s="72">
        <v>25</v>
      </c>
      <c r="Q50" s="72">
        <v>25</v>
      </c>
      <c r="R50" s="72">
        <v>25</v>
      </c>
      <c r="S50" s="72">
        <v>25</v>
      </c>
      <c r="T50" s="72">
        <v>25</v>
      </c>
      <c r="U50" s="72">
        <v>25</v>
      </c>
      <c r="V50" s="72">
        <v>25</v>
      </c>
      <c r="W50" s="72">
        <v>25</v>
      </c>
      <c r="X50" s="72">
        <v>25</v>
      </c>
      <c r="Y50" s="72">
        <v>25</v>
      </c>
      <c r="Z50" s="72">
        <v>25</v>
      </c>
      <c r="AA50" s="72">
        <v>25</v>
      </c>
      <c r="AB50" s="72">
        <v>25</v>
      </c>
      <c r="AC50" s="72">
        <v>25</v>
      </c>
      <c r="AD50" s="72">
        <v>25</v>
      </c>
      <c r="AE50" s="72">
        <v>25</v>
      </c>
      <c r="AF50" s="72">
        <v>25</v>
      </c>
      <c r="AG50" s="61">
        <v>60</v>
      </c>
      <c r="AH50" s="52">
        <f t="shared" si="2"/>
        <v>25</v>
      </c>
      <c r="AI50" s="53">
        <f t="shared" si="3"/>
        <v>25</v>
      </c>
      <c r="AK50" s="54"/>
    </row>
    <row r="51" spans="1:41" ht="15.75" thickBot="1" x14ac:dyDescent="0.3">
      <c r="A51" s="73" t="s">
        <v>59</v>
      </c>
      <c r="B51" s="50">
        <v>15</v>
      </c>
      <c r="C51" s="50">
        <v>15</v>
      </c>
      <c r="D51" s="50">
        <v>15</v>
      </c>
      <c r="E51" s="50">
        <v>15</v>
      </c>
      <c r="F51" s="50">
        <v>11</v>
      </c>
      <c r="G51" s="50">
        <v>11</v>
      </c>
      <c r="H51" s="50">
        <v>11</v>
      </c>
      <c r="I51" s="50">
        <v>11</v>
      </c>
      <c r="J51" s="74">
        <v>11.2</v>
      </c>
      <c r="K51" s="74">
        <v>11.2</v>
      </c>
      <c r="L51" s="74">
        <v>11.2</v>
      </c>
      <c r="M51" s="74">
        <v>11.2</v>
      </c>
      <c r="N51" s="74">
        <v>11.2</v>
      </c>
      <c r="O51" s="74">
        <v>11.2</v>
      </c>
      <c r="P51" s="74">
        <v>11.2</v>
      </c>
      <c r="Q51" s="74">
        <v>11.3</v>
      </c>
      <c r="R51" s="74">
        <v>11.3</v>
      </c>
      <c r="S51" s="74">
        <v>11.2</v>
      </c>
      <c r="T51" s="74">
        <v>11.2</v>
      </c>
      <c r="U51" s="74">
        <v>11.2</v>
      </c>
      <c r="V51" s="74">
        <v>11.2</v>
      </c>
      <c r="W51" s="74">
        <v>11.2</v>
      </c>
      <c r="X51" s="74">
        <v>11.2</v>
      </c>
      <c r="Y51" s="74">
        <v>11.2</v>
      </c>
      <c r="Z51" s="74">
        <v>11.2</v>
      </c>
      <c r="AA51" s="74">
        <v>11.2</v>
      </c>
      <c r="AB51" s="74">
        <v>11.2</v>
      </c>
      <c r="AC51" s="74">
        <v>11.2</v>
      </c>
      <c r="AD51" s="74">
        <v>11.2</v>
      </c>
      <c r="AE51" s="74">
        <v>11.2</v>
      </c>
      <c r="AF51" s="74">
        <v>11.2</v>
      </c>
      <c r="AG51" s="75">
        <v>22.1</v>
      </c>
      <c r="AH51" s="52">
        <f t="shared" si="2"/>
        <v>15</v>
      </c>
      <c r="AI51" s="53">
        <f t="shared" si="3"/>
        <v>11</v>
      </c>
      <c r="AK51" s="54"/>
    </row>
    <row r="52" spans="1:41" ht="15.75" thickBot="1" x14ac:dyDescent="0.3">
      <c r="A52" s="76" t="s">
        <v>60</v>
      </c>
      <c r="B52" s="67">
        <f t="shared" ref="B52:AG52" si="9">SUM(B49:B51)</f>
        <v>240</v>
      </c>
      <c r="C52" s="67">
        <f t="shared" si="9"/>
        <v>120</v>
      </c>
      <c r="D52" s="67">
        <f t="shared" si="9"/>
        <v>70</v>
      </c>
      <c r="E52" s="67">
        <f t="shared" si="9"/>
        <v>55</v>
      </c>
      <c r="F52" s="67">
        <f t="shared" si="9"/>
        <v>51</v>
      </c>
      <c r="G52" s="67">
        <f t="shared" si="9"/>
        <v>51</v>
      </c>
      <c r="H52" s="67">
        <f t="shared" si="9"/>
        <v>51</v>
      </c>
      <c r="I52" s="67">
        <f t="shared" si="9"/>
        <v>71</v>
      </c>
      <c r="J52" s="67">
        <f t="shared" si="9"/>
        <v>51.2</v>
      </c>
      <c r="K52" s="67">
        <f t="shared" si="9"/>
        <v>36.200000000000003</v>
      </c>
      <c r="L52" s="67">
        <f t="shared" si="9"/>
        <v>36.200000000000003</v>
      </c>
      <c r="M52" s="67">
        <f t="shared" si="9"/>
        <v>36.200000000000003</v>
      </c>
      <c r="N52" s="67">
        <f t="shared" si="9"/>
        <v>36.200000000000003</v>
      </c>
      <c r="O52" s="67">
        <f t="shared" si="9"/>
        <v>36.200000000000003</v>
      </c>
      <c r="P52" s="67">
        <f t="shared" si="9"/>
        <v>36.200000000000003</v>
      </c>
      <c r="Q52" s="67">
        <f t="shared" si="9"/>
        <v>66.3</v>
      </c>
      <c r="R52" s="67">
        <f t="shared" si="9"/>
        <v>66.3</v>
      </c>
      <c r="S52" s="67">
        <f t="shared" si="9"/>
        <v>66.2</v>
      </c>
      <c r="T52" s="67">
        <f t="shared" si="9"/>
        <v>96.2</v>
      </c>
      <c r="U52" s="67">
        <f t="shared" si="9"/>
        <v>66.2</v>
      </c>
      <c r="V52" s="67">
        <f t="shared" ref="V52:W52" si="10">SUM(V49:V51)</f>
        <v>61.2</v>
      </c>
      <c r="W52" s="67">
        <f t="shared" si="10"/>
        <v>61.2</v>
      </c>
      <c r="X52" s="67">
        <f t="shared" ref="X52" si="11">SUM(X49:X51)</f>
        <v>86.2</v>
      </c>
      <c r="Y52" s="67">
        <f t="shared" si="9"/>
        <v>111.2</v>
      </c>
      <c r="Z52" s="67">
        <v>106.2</v>
      </c>
      <c r="AA52" s="67">
        <f t="shared" si="9"/>
        <v>136.19999999999999</v>
      </c>
      <c r="AB52" s="67">
        <f t="shared" si="9"/>
        <v>116.2</v>
      </c>
      <c r="AC52" s="67">
        <f t="shared" si="9"/>
        <v>116.2</v>
      </c>
      <c r="AD52" s="67">
        <f t="shared" si="9"/>
        <v>76.2</v>
      </c>
      <c r="AE52" s="67">
        <f t="shared" si="9"/>
        <v>76.2</v>
      </c>
      <c r="AF52" s="67">
        <f t="shared" ref="AF52" si="12">SUM(AF49:AF51)</f>
        <v>76.2</v>
      </c>
      <c r="AG52" s="68">
        <f t="shared" si="9"/>
        <v>538.1</v>
      </c>
      <c r="AH52" s="52">
        <f t="shared" si="2"/>
        <v>240</v>
      </c>
      <c r="AI52" s="53">
        <f t="shared" si="3"/>
        <v>36.200000000000003</v>
      </c>
      <c r="AK52" s="54"/>
    </row>
    <row r="53" spans="1:41" x14ac:dyDescent="0.25">
      <c r="A53" s="49" t="s">
        <v>61</v>
      </c>
      <c r="B53" s="50">
        <v>49.2</v>
      </c>
      <c r="C53" s="50">
        <v>49.2</v>
      </c>
      <c r="D53" s="50">
        <v>41</v>
      </c>
      <c r="E53" s="50">
        <v>28</v>
      </c>
      <c r="F53" s="50">
        <v>0</v>
      </c>
      <c r="G53" s="50">
        <v>38.700000000000003</v>
      </c>
      <c r="H53" s="50">
        <v>48.6</v>
      </c>
      <c r="I53" s="50">
        <v>24</v>
      </c>
      <c r="J53" s="50">
        <v>22</v>
      </c>
      <c r="K53" s="50">
        <v>0</v>
      </c>
      <c r="L53" s="50">
        <v>0</v>
      </c>
      <c r="M53" s="50">
        <v>0</v>
      </c>
      <c r="N53" s="50">
        <v>0</v>
      </c>
      <c r="O53" s="50">
        <v>0</v>
      </c>
      <c r="P53" s="50">
        <v>30.6</v>
      </c>
      <c r="Q53" s="50">
        <v>97.6</v>
      </c>
      <c r="R53" s="50">
        <v>97.4</v>
      </c>
      <c r="S53" s="50">
        <v>97.4</v>
      </c>
      <c r="T53" s="50">
        <v>97.4</v>
      </c>
      <c r="U53" s="50">
        <v>97.4</v>
      </c>
      <c r="V53" s="50">
        <v>97.4</v>
      </c>
      <c r="W53" s="50">
        <v>97.6</v>
      </c>
      <c r="X53" s="50">
        <v>97.6</v>
      </c>
      <c r="Y53" s="50">
        <v>97.6</v>
      </c>
      <c r="Z53" s="50">
        <v>94.8</v>
      </c>
      <c r="AA53" s="50">
        <v>94.8</v>
      </c>
      <c r="AB53" s="50">
        <v>95.7</v>
      </c>
      <c r="AC53" s="50">
        <v>30.4</v>
      </c>
      <c r="AD53" s="50">
        <v>30.4</v>
      </c>
      <c r="AE53" s="50">
        <v>30.4</v>
      </c>
      <c r="AF53" s="50">
        <v>35</v>
      </c>
      <c r="AG53" s="56">
        <v>144</v>
      </c>
      <c r="AH53" s="52">
        <f t="shared" si="2"/>
        <v>97.6</v>
      </c>
      <c r="AI53" s="53">
        <f t="shared" si="3"/>
        <v>0</v>
      </c>
      <c r="AK53" s="54"/>
    </row>
    <row r="54" spans="1:41" x14ac:dyDescent="0.25">
      <c r="A54" s="60" t="s">
        <v>62</v>
      </c>
      <c r="B54" s="50">
        <v>32.700000000000003</v>
      </c>
      <c r="C54" s="50">
        <v>32.700000000000003</v>
      </c>
      <c r="D54" s="50">
        <v>32.700000000000003</v>
      </c>
      <c r="E54" s="72">
        <v>24.5</v>
      </c>
      <c r="F54" s="72">
        <v>34.200000000000003</v>
      </c>
      <c r="G54" s="72">
        <v>35.6</v>
      </c>
      <c r="H54" s="72">
        <v>35</v>
      </c>
      <c r="I54" s="72">
        <v>25.8</v>
      </c>
      <c r="J54" s="72">
        <v>25.74</v>
      </c>
      <c r="K54" s="72">
        <v>33.9</v>
      </c>
      <c r="L54" s="72">
        <v>47.4</v>
      </c>
      <c r="M54" s="72">
        <v>22.6</v>
      </c>
      <c r="N54" s="72">
        <v>22.6</v>
      </c>
      <c r="O54" s="72">
        <v>22.7</v>
      </c>
      <c r="P54" s="72">
        <v>22.3</v>
      </c>
      <c r="Q54" s="72">
        <v>67</v>
      </c>
      <c r="R54" s="72">
        <v>68</v>
      </c>
      <c r="S54" s="72">
        <v>32.6</v>
      </c>
      <c r="T54" s="72">
        <v>55.8</v>
      </c>
      <c r="U54" s="72">
        <v>55.8</v>
      </c>
      <c r="V54" s="72">
        <v>47.1</v>
      </c>
      <c r="W54" s="72">
        <v>22.9</v>
      </c>
      <c r="X54" s="72">
        <v>19.5</v>
      </c>
      <c r="Y54" s="72">
        <v>35</v>
      </c>
      <c r="Z54" s="50">
        <v>34.299999999999997</v>
      </c>
      <c r="AA54" s="50">
        <v>44</v>
      </c>
      <c r="AB54" s="50">
        <v>22</v>
      </c>
      <c r="AC54" s="50">
        <v>21.9</v>
      </c>
      <c r="AD54" s="50">
        <v>21.9</v>
      </c>
      <c r="AE54" s="50">
        <v>21.9</v>
      </c>
      <c r="AF54" s="50">
        <v>21.9</v>
      </c>
      <c r="AG54" s="61">
        <v>70</v>
      </c>
      <c r="AH54" s="52">
        <f t="shared" si="2"/>
        <v>68</v>
      </c>
      <c r="AI54" s="53">
        <f t="shared" si="3"/>
        <v>19.5</v>
      </c>
      <c r="AK54" s="54"/>
    </row>
    <row r="55" spans="1:41" x14ac:dyDescent="0.25">
      <c r="A55" s="60" t="s">
        <v>63</v>
      </c>
      <c r="B55" s="50">
        <v>40.700000000000003</v>
      </c>
      <c r="C55" s="50">
        <v>40.700000000000003</v>
      </c>
      <c r="D55" s="50">
        <v>40.700000000000003</v>
      </c>
      <c r="E55" s="72">
        <v>32.1</v>
      </c>
      <c r="F55" s="72">
        <v>21.5</v>
      </c>
      <c r="G55" s="72">
        <v>42.9</v>
      </c>
      <c r="H55" s="72">
        <v>32.799999999999997</v>
      </c>
      <c r="I55" s="72">
        <v>17</v>
      </c>
      <c r="J55" s="72">
        <v>23.3</v>
      </c>
      <c r="K55" s="72">
        <v>22.8</v>
      </c>
      <c r="L55" s="72">
        <v>33</v>
      </c>
      <c r="M55" s="72">
        <v>44.3</v>
      </c>
      <c r="N55" s="72">
        <v>44.3</v>
      </c>
      <c r="O55" s="72">
        <v>44.6</v>
      </c>
      <c r="P55" s="72">
        <v>32.6</v>
      </c>
      <c r="Q55" s="72">
        <v>46</v>
      </c>
      <c r="R55" s="72">
        <v>66.2</v>
      </c>
      <c r="S55" s="72">
        <v>66.2</v>
      </c>
      <c r="T55" s="72">
        <v>68.3</v>
      </c>
      <c r="U55" s="72">
        <v>68.3</v>
      </c>
      <c r="V55" s="72">
        <v>23</v>
      </c>
      <c r="W55" s="72">
        <v>0</v>
      </c>
      <c r="X55" s="72">
        <v>0</v>
      </c>
      <c r="Y55" s="72">
        <v>17</v>
      </c>
      <c r="Z55" s="50">
        <v>43.4</v>
      </c>
      <c r="AA55" s="50">
        <v>34</v>
      </c>
      <c r="AB55" s="50">
        <v>45.3</v>
      </c>
      <c r="AC55" s="50">
        <v>45.3</v>
      </c>
      <c r="AD55" s="50">
        <v>45.3</v>
      </c>
      <c r="AE55" s="50">
        <v>45.3</v>
      </c>
      <c r="AF55" s="50">
        <v>45.3</v>
      </c>
      <c r="AG55" s="61">
        <v>69</v>
      </c>
      <c r="AH55" s="52">
        <f t="shared" si="2"/>
        <v>68.3</v>
      </c>
      <c r="AI55" s="53">
        <f t="shared" si="3"/>
        <v>0</v>
      </c>
      <c r="AK55" s="54"/>
    </row>
    <row r="56" spans="1:41" x14ac:dyDescent="0.25">
      <c r="A56" s="60" t="s">
        <v>64</v>
      </c>
      <c r="B56" s="50">
        <v>39</v>
      </c>
      <c r="C56" s="50">
        <v>39</v>
      </c>
      <c r="D56" s="50">
        <v>39</v>
      </c>
      <c r="E56" s="50">
        <v>39</v>
      </c>
      <c r="F56" s="50">
        <v>39</v>
      </c>
      <c r="G56" s="50">
        <v>39</v>
      </c>
      <c r="H56" s="50">
        <v>39</v>
      </c>
      <c r="I56" s="50">
        <v>39</v>
      </c>
      <c r="J56" s="50">
        <v>39</v>
      </c>
      <c r="K56" s="63">
        <v>39.299999999999997</v>
      </c>
      <c r="L56" s="63">
        <v>39.299999999999997</v>
      </c>
      <c r="M56" s="72">
        <v>39.6</v>
      </c>
      <c r="N56" s="72">
        <v>39.6</v>
      </c>
      <c r="O56" s="72">
        <v>39.6</v>
      </c>
      <c r="P56" s="72">
        <v>39.299999999999997</v>
      </c>
      <c r="Q56" s="72">
        <v>38.299999999999997</v>
      </c>
      <c r="R56" s="72">
        <v>38.299999999999997</v>
      </c>
      <c r="S56" s="72">
        <v>38.299999999999997</v>
      </c>
      <c r="T56" s="72">
        <v>38.299999999999997</v>
      </c>
      <c r="U56" s="72">
        <v>38.299999999999997</v>
      </c>
      <c r="V56" s="72">
        <v>38.299999999999997</v>
      </c>
      <c r="W56" s="72">
        <v>38.299999999999997</v>
      </c>
      <c r="X56" s="72">
        <v>38.299999999999997</v>
      </c>
      <c r="Y56" s="72">
        <v>38.299999999999997</v>
      </c>
      <c r="Z56" s="50">
        <v>38.299999999999997</v>
      </c>
      <c r="AA56" s="50">
        <v>38.299999999999997</v>
      </c>
      <c r="AB56" s="50">
        <v>38.299999999999997</v>
      </c>
      <c r="AC56" s="50">
        <v>38.299999999999997</v>
      </c>
      <c r="AD56" s="50">
        <v>38.299999999999997</v>
      </c>
      <c r="AE56" s="50">
        <v>38.299999999999997</v>
      </c>
      <c r="AF56" s="50">
        <v>38.299999999999997</v>
      </c>
      <c r="AG56" s="61">
        <v>60</v>
      </c>
      <c r="AH56" s="52">
        <f t="shared" si="2"/>
        <v>39.6</v>
      </c>
      <c r="AI56" s="53">
        <f t="shared" si="3"/>
        <v>38.299999999999997</v>
      </c>
      <c r="AK56" s="54"/>
    </row>
    <row r="57" spans="1:41" x14ac:dyDescent="0.25">
      <c r="A57" s="60" t="s">
        <v>65</v>
      </c>
      <c r="B57" s="50">
        <v>10</v>
      </c>
      <c r="C57" s="50">
        <v>10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63">
        <v>10</v>
      </c>
      <c r="L57" s="63">
        <v>10</v>
      </c>
      <c r="M57" s="72">
        <v>10</v>
      </c>
      <c r="N57" s="72">
        <v>10</v>
      </c>
      <c r="O57" s="72">
        <v>10</v>
      </c>
      <c r="P57" s="72">
        <v>10</v>
      </c>
      <c r="Q57" s="72">
        <v>10</v>
      </c>
      <c r="R57" s="72">
        <v>10</v>
      </c>
      <c r="S57" s="72">
        <v>10</v>
      </c>
      <c r="T57" s="72">
        <v>15</v>
      </c>
      <c r="U57" s="72">
        <v>15</v>
      </c>
      <c r="V57" s="72">
        <v>15</v>
      </c>
      <c r="W57" s="72">
        <v>10</v>
      </c>
      <c r="X57" s="72">
        <v>10</v>
      </c>
      <c r="Y57" s="72">
        <v>10</v>
      </c>
      <c r="Z57" s="50">
        <v>10</v>
      </c>
      <c r="AA57" s="50">
        <v>13</v>
      </c>
      <c r="AB57" s="50">
        <v>13</v>
      </c>
      <c r="AC57" s="50">
        <v>13</v>
      </c>
      <c r="AD57" s="50">
        <v>13</v>
      </c>
      <c r="AE57" s="50">
        <v>13</v>
      </c>
      <c r="AF57" s="50">
        <v>13</v>
      </c>
      <c r="AG57" s="61">
        <v>30</v>
      </c>
      <c r="AH57" s="52">
        <f t="shared" si="2"/>
        <v>15</v>
      </c>
      <c r="AI57" s="53">
        <f t="shared" si="3"/>
        <v>0</v>
      </c>
      <c r="AK57" s="54"/>
    </row>
    <row r="58" spans="1:41" x14ac:dyDescent="0.25">
      <c r="A58" s="60" t="s">
        <v>66</v>
      </c>
      <c r="B58" s="50">
        <v>0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72">
        <v>6.3</v>
      </c>
      <c r="N58" s="72">
        <v>10</v>
      </c>
      <c r="O58" s="72">
        <v>14.7</v>
      </c>
      <c r="P58" s="72">
        <v>14.7</v>
      </c>
      <c r="Q58" s="72">
        <v>16.5</v>
      </c>
      <c r="R58" s="72">
        <v>13.2</v>
      </c>
      <c r="S58" s="72">
        <v>13.2</v>
      </c>
      <c r="T58" s="72">
        <v>13.2</v>
      </c>
      <c r="U58" s="72">
        <v>13.2</v>
      </c>
      <c r="V58" s="72">
        <v>13.2</v>
      </c>
      <c r="W58" s="72">
        <v>13.2</v>
      </c>
      <c r="X58" s="72">
        <v>13.2</v>
      </c>
      <c r="Y58" s="72">
        <v>13.2</v>
      </c>
      <c r="Z58" s="50">
        <v>13.2</v>
      </c>
      <c r="AA58" s="50">
        <v>13.2</v>
      </c>
      <c r="AB58" s="50">
        <v>13.2</v>
      </c>
      <c r="AC58" s="50">
        <v>13.2</v>
      </c>
      <c r="AD58" s="50">
        <v>13.2</v>
      </c>
      <c r="AE58" s="50">
        <v>13.2</v>
      </c>
      <c r="AF58" s="50">
        <v>13.2</v>
      </c>
      <c r="AG58" s="61">
        <v>25</v>
      </c>
      <c r="AH58" s="52">
        <f t="shared" si="2"/>
        <v>16.5</v>
      </c>
      <c r="AI58" s="53">
        <f t="shared" si="3"/>
        <v>0</v>
      </c>
      <c r="AK58" s="54"/>
    </row>
    <row r="59" spans="1:41" x14ac:dyDescent="0.25">
      <c r="A59" s="60" t="s">
        <v>67</v>
      </c>
      <c r="B59" s="50">
        <v>15</v>
      </c>
      <c r="C59" s="50">
        <v>15</v>
      </c>
      <c r="D59" s="50">
        <v>15</v>
      </c>
      <c r="E59" s="50">
        <v>15</v>
      </c>
      <c r="F59" s="50">
        <v>15</v>
      </c>
      <c r="G59" s="50">
        <v>15</v>
      </c>
      <c r="H59" s="50">
        <v>15</v>
      </c>
      <c r="I59" s="50">
        <v>15</v>
      </c>
      <c r="J59" s="50">
        <v>15</v>
      </c>
      <c r="K59" s="50">
        <v>15</v>
      </c>
      <c r="L59" s="50">
        <v>15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15</v>
      </c>
      <c r="S59" s="72">
        <v>15</v>
      </c>
      <c r="T59" s="72">
        <v>15</v>
      </c>
      <c r="U59" s="72">
        <v>15</v>
      </c>
      <c r="V59" s="72">
        <v>15</v>
      </c>
      <c r="W59" s="72">
        <v>15</v>
      </c>
      <c r="X59" s="72">
        <v>15</v>
      </c>
      <c r="Y59" s="72">
        <v>15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15</v>
      </c>
      <c r="AI59" s="53">
        <f t="shared" si="3"/>
        <v>15</v>
      </c>
      <c r="AK59" s="54"/>
    </row>
    <row r="60" spans="1:41" x14ac:dyDescent="0.25">
      <c r="A60" s="60" t="s">
        <v>68</v>
      </c>
      <c r="B60" s="50">
        <v>0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50">
        <v>12.2</v>
      </c>
      <c r="C61" s="50">
        <v>12.2</v>
      </c>
      <c r="D61" s="50">
        <v>12.2</v>
      </c>
      <c r="E61" s="50">
        <v>12.2</v>
      </c>
      <c r="F61" s="50">
        <v>12.2</v>
      </c>
      <c r="G61" s="50">
        <v>12.2</v>
      </c>
      <c r="H61" s="50">
        <v>12.2</v>
      </c>
      <c r="I61" s="50">
        <v>12.2</v>
      </c>
      <c r="J61" s="50">
        <v>12.2</v>
      </c>
      <c r="K61" s="50">
        <v>12.2</v>
      </c>
      <c r="L61" s="50">
        <v>12.2</v>
      </c>
      <c r="M61" s="72">
        <v>9.6999999999999993</v>
      </c>
      <c r="N61" s="72">
        <v>9.6999999999999993</v>
      </c>
      <c r="O61" s="72">
        <v>9.6999999999999993</v>
      </c>
      <c r="P61" s="72">
        <v>9.6999999999999993</v>
      </c>
      <c r="Q61" s="72">
        <v>9.5</v>
      </c>
      <c r="R61" s="72">
        <v>9.5</v>
      </c>
      <c r="S61" s="72">
        <v>9.5</v>
      </c>
      <c r="T61" s="72">
        <v>9.5</v>
      </c>
      <c r="U61" s="72">
        <v>9.5</v>
      </c>
      <c r="V61" s="72">
        <v>9.5</v>
      </c>
      <c r="W61" s="72">
        <v>9.5</v>
      </c>
      <c r="X61" s="72">
        <v>9.5</v>
      </c>
      <c r="Y61" s="72">
        <v>9.5</v>
      </c>
      <c r="Z61" s="72">
        <v>9.5</v>
      </c>
      <c r="AA61" s="72">
        <v>9.5</v>
      </c>
      <c r="AB61" s="72">
        <v>9.5</v>
      </c>
      <c r="AC61" s="72">
        <v>9.5</v>
      </c>
      <c r="AD61" s="72">
        <v>9.5</v>
      </c>
      <c r="AE61" s="72">
        <v>9.5</v>
      </c>
      <c r="AF61" s="72">
        <v>9.5</v>
      </c>
      <c r="AG61" s="61">
        <v>14.1</v>
      </c>
      <c r="AH61" s="52">
        <f t="shared" si="2"/>
        <v>12.2</v>
      </c>
      <c r="AI61" s="53">
        <f t="shared" si="3"/>
        <v>9.5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50">
        <v>5</v>
      </c>
      <c r="C62" s="50">
        <v>5</v>
      </c>
      <c r="D62" s="50">
        <v>5</v>
      </c>
      <c r="E62" s="50">
        <v>5</v>
      </c>
      <c r="F62" s="50">
        <v>5</v>
      </c>
      <c r="G62" s="50">
        <v>5</v>
      </c>
      <c r="H62" s="50">
        <v>5</v>
      </c>
      <c r="I62" s="50">
        <v>5</v>
      </c>
      <c r="J62" s="50">
        <v>5</v>
      </c>
      <c r="K62" s="50">
        <v>5</v>
      </c>
      <c r="L62" s="50">
        <v>5</v>
      </c>
      <c r="M62" s="72">
        <v>5</v>
      </c>
      <c r="N62" s="72">
        <v>5</v>
      </c>
      <c r="O62" s="72">
        <v>5</v>
      </c>
      <c r="P62" s="72">
        <v>5</v>
      </c>
      <c r="Q62" s="72">
        <v>4.8</v>
      </c>
      <c r="R62" s="72">
        <v>4.8</v>
      </c>
      <c r="S62" s="72">
        <v>4.8</v>
      </c>
      <c r="T62" s="72">
        <v>4.8</v>
      </c>
      <c r="U62" s="72">
        <v>4.8</v>
      </c>
      <c r="V62" s="72">
        <v>4.8</v>
      </c>
      <c r="W62" s="72">
        <v>4.8</v>
      </c>
      <c r="X62" s="72">
        <v>4.8</v>
      </c>
      <c r="Y62" s="72">
        <v>4.8</v>
      </c>
      <c r="Z62" s="72">
        <v>4.8</v>
      </c>
      <c r="AA62" s="72">
        <v>4.8</v>
      </c>
      <c r="AB62" s="72">
        <v>4.8</v>
      </c>
      <c r="AC62" s="72">
        <v>4.8</v>
      </c>
      <c r="AD62" s="72">
        <v>4.8</v>
      </c>
      <c r="AE62" s="72">
        <v>4.8</v>
      </c>
      <c r="AF62" s="72">
        <v>4.8</v>
      </c>
      <c r="AG62" s="61">
        <v>14</v>
      </c>
      <c r="AH62" s="52">
        <f t="shared" si="2"/>
        <v>5</v>
      </c>
      <c r="AI62" s="53">
        <f t="shared" si="3"/>
        <v>4.8</v>
      </c>
      <c r="AK62" s="54"/>
    </row>
    <row r="63" spans="1:41" x14ac:dyDescent="0.25">
      <c r="A63" s="60" t="s">
        <v>71</v>
      </c>
      <c r="B63" s="50">
        <v>3.3</v>
      </c>
      <c r="C63" s="50">
        <v>3.3</v>
      </c>
      <c r="D63" s="50">
        <v>3.3</v>
      </c>
      <c r="E63" s="50">
        <v>3.3</v>
      </c>
      <c r="F63" s="50">
        <v>3.3</v>
      </c>
      <c r="G63" s="50">
        <v>3.3</v>
      </c>
      <c r="H63" s="50">
        <v>3.3</v>
      </c>
      <c r="I63" s="50">
        <v>3.3</v>
      </c>
      <c r="J63" s="50">
        <v>3.3</v>
      </c>
      <c r="K63" s="50">
        <v>3.3</v>
      </c>
      <c r="L63" s="50">
        <v>3.3</v>
      </c>
      <c r="M63" s="72">
        <v>3</v>
      </c>
      <c r="N63" s="72">
        <v>3</v>
      </c>
      <c r="O63" s="72">
        <v>3</v>
      </c>
      <c r="P63" s="72">
        <v>3</v>
      </c>
      <c r="Q63" s="72">
        <v>3</v>
      </c>
      <c r="R63" s="72">
        <v>3</v>
      </c>
      <c r="S63" s="72">
        <v>3</v>
      </c>
      <c r="T63" s="72">
        <v>3</v>
      </c>
      <c r="U63" s="72">
        <v>3</v>
      </c>
      <c r="V63" s="72">
        <v>3</v>
      </c>
      <c r="W63" s="72">
        <v>3</v>
      </c>
      <c r="X63" s="72">
        <v>3</v>
      </c>
      <c r="Y63" s="72">
        <v>3</v>
      </c>
      <c r="Z63" s="72">
        <v>3</v>
      </c>
      <c r="AA63" s="72">
        <v>3</v>
      </c>
      <c r="AB63" s="72">
        <v>3</v>
      </c>
      <c r="AC63" s="72">
        <v>3</v>
      </c>
      <c r="AD63" s="72">
        <v>3</v>
      </c>
      <c r="AE63" s="72">
        <v>3</v>
      </c>
      <c r="AF63" s="72">
        <v>3</v>
      </c>
      <c r="AG63" s="61">
        <v>10.050000000000001</v>
      </c>
      <c r="AH63" s="52">
        <f t="shared" si="2"/>
        <v>3.3</v>
      </c>
      <c r="AI63" s="53">
        <f t="shared" si="3"/>
        <v>3</v>
      </c>
      <c r="AK63" s="54"/>
    </row>
    <row r="64" spans="1:41" x14ac:dyDescent="0.25">
      <c r="A64" s="60" t="s">
        <v>72</v>
      </c>
      <c r="B64" s="50">
        <v>2</v>
      </c>
      <c r="C64" s="50">
        <v>2</v>
      </c>
      <c r="D64" s="50">
        <v>2</v>
      </c>
      <c r="E64" s="50">
        <v>2</v>
      </c>
      <c r="F64" s="50">
        <v>2</v>
      </c>
      <c r="G64" s="50">
        <v>2</v>
      </c>
      <c r="H64" s="50">
        <v>2</v>
      </c>
      <c r="I64" s="50">
        <v>2</v>
      </c>
      <c r="J64" s="50">
        <v>2</v>
      </c>
      <c r="K64" s="50">
        <v>2</v>
      </c>
      <c r="L64" s="50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:AG66" si="13">SUM(B53:B65)</f>
        <v>212.64000000000001</v>
      </c>
      <c r="C66" s="67">
        <f t="shared" si="13"/>
        <v>212.64000000000001</v>
      </c>
      <c r="D66" s="67">
        <f t="shared" si="13"/>
        <v>194.44</v>
      </c>
      <c r="E66" s="67">
        <f t="shared" si="13"/>
        <v>164.64</v>
      </c>
      <c r="F66" s="67">
        <f t="shared" si="13"/>
        <v>135.74</v>
      </c>
      <c r="G66" s="67">
        <f t="shared" si="13"/>
        <v>197.24</v>
      </c>
      <c r="H66" s="67">
        <f t="shared" si="13"/>
        <v>196.43999999999997</v>
      </c>
      <c r="I66" s="67">
        <f t="shared" si="13"/>
        <v>146.84</v>
      </c>
      <c r="J66" s="67">
        <f t="shared" si="13"/>
        <v>151.07999999999998</v>
      </c>
      <c r="K66" s="67">
        <f t="shared" si="13"/>
        <v>147.04</v>
      </c>
      <c r="L66" s="67">
        <f t="shared" si="13"/>
        <v>170.73999999999998</v>
      </c>
      <c r="M66" s="67">
        <f t="shared" si="13"/>
        <v>161.04</v>
      </c>
      <c r="N66" s="67">
        <f t="shared" si="13"/>
        <v>164.73999999999998</v>
      </c>
      <c r="O66" s="67">
        <f t="shared" si="13"/>
        <v>169.83999999999997</v>
      </c>
      <c r="P66" s="67">
        <f t="shared" si="13"/>
        <v>187.73999999999998</v>
      </c>
      <c r="Q66" s="67">
        <f t="shared" si="13"/>
        <v>313.24</v>
      </c>
      <c r="R66" s="67">
        <f t="shared" si="13"/>
        <v>330.94000000000005</v>
      </c>
      <c r="S66" s="67">
        <f t="shared" si="13"/>
        <v>295.54000000000002</v>
      </c>
      <c r="T66" s="67">
        <f t="shared" si="13"/>
        <v>325.84000000000003</v>
      </c>
      <c r="U66" s="67">
        <f t="shared" si="13"/>
        <v>325.84000000000003</v>
      </c>
      <c r="V66" s="67">
        <f t="shared" ref="V66:W66" si="14">SUM(V53:V65)</f>
        <v>271.84000000000003</v>
      </c>
      <c r="W66" s="67">
        <f t="shared" si="14"/>
        <v>219.84</v>
      </c>
      <c r="X66" s="67">
        <f t="shared" ref="X66" si="15">SUM(X53:X65)</f>
        <v>216.43999999999997</v>
      </c>
      <c r="Y66" s="67">
        <f t="shared" si="13"/>
        <v>248.93999999999997</v>
      </c>
      <c r="Z66" s="67">
        <v>271.84000000000003</v>
      </c>
      <c r="AA66" s="67">
        <f t="shared" si="13"/>
        <v>275.14000000000004</v>
      </c>
      <c r="AB66" s="67">
        <f t="shared" si="13"/>
        <v>265.34000000000003</v>
      </c>
      <c r="AC66" s="67">
        <f t="shared" si="13"/>
        <v>199.93999999999997</v>
      </c>
      <c r="AD66" s="67">
        <f t="shared" si="13"/>
        <v>199.93999999999997</v>
      </c>
      <c r="AE66" s="67">
        <f t="shared" si="13"/>
        <v>199.93999999999997</v>
      </c>
      <c r="AF66" s="67">
        <f t="shared" ref="AF66" si="16">SUM(AF53:AF65)</f>
        <v>204.54</v>
      </c>
      <c r="AG66" s="68">
        <f t="shared" si="13"/>
        <v>489.91</v>
      </c>
      <c r="AH66" s="52">
        <f t="shared" si="2"/>
        <v>330.94000000000005</v>
      </c>
      <c r="AI66" s="53">
        <f t="shared" si="3"/>
        <v>135.74</v>
      </c>
      <c r="AK66" s="54"/>
    </row>
    <row r="67" spans="1:40" x14ac:dyDescent="0.25">
      <c r="A67" s="49" t="s">
        <v>75</v>
      </c>
      <c r="B67" s="50">
        <v>60</v>
      </c>
      <c r="C67" s="50">
        <v>60</v>
      </c>
      <c r="D67" s="50">
        <v>60</v>
      </c>
      <c r="E67" s="50">
        <v>60</v>
      </c>
      <c r="F67" s="50">
        <v>60</v>
      </c>
      <c r="G67" s="50">
        <v>60</v>
      </c>
      <c r="H67" s="50">
        <v>60</v>
      </c>
      <c r="I67" s="50">
        <v>40</v>
      </c>
      <c r="J67" s="50">
        <v>45</v>
      </c>
      <c r="K67" s="50">
        <v>60</v>
      </c>
      <c r="L67" s="50">
        <v>60</v>
      </c>
      <c r="M67" s="50">
        <v>60</v>
      </c>
      <c r="N67" s="50">
        <v>50</v>
      </c>
      <c r="O67" s="50">
        <v>60</v>
      </c>
      <c r="P67" s="50">
        <v>60</v>
      </c>
      <c r="Q67" s="50">
        <v>60</v>
      </c>
      <c r="R67" s="50">
        <v>60</v>
      </c>
      <c r="S67" s="50">
        <v>60</v>
      </c>
      <c r="T67" s="50">
        <v>60</v>
      </c>
      <c r="U67" s="50">
        <v>60</v>
      </c>
      <c r="V67" s="50">
        <v>60</v>
      </c>
      <c r="W67" s="50">
        <v>60</v>
      </c>
      <c r="X67" s="50">
        <v>60</v>
      </c>
      <c r="Y67" s="50">
        <v>60</v>
      </c>
      <c r="Z67" s="50">
        <v>60</v>
      </c>
      <c r="AA67" s="50">
        <v>60</v>
      </c>
      <c r="AB67" s="50">
        <v>50</v>
      </c>
      <c r="AC67" s="50">
        <v>50</v>
      </c>
      <c r="AD67" s="50">
        <v>50</v>
      </c>
      <c r="AE67" s="50">
        <v>50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40</v>
      </c>
      <c r="AK67" s="54"/>
    </row>
    <row r="68" spans="1:40" x14ac:dyDescent="0.25">
      <c r="A68" s="60" t="s">
        <v>76</v>
      </c>
      <c r="B68" s="50">
        <v>27.6</v>
      </c>
      <c r="C68" s="50">
        <v>27.6</v>
      </c>
      <c r="D68" s="50">
        <v>27.6</v>
      </c>
      <c r="E68" s="50">
        <v>27.6</v>
      </c>
      <c r="F68" s="50">
        <v>27.6</v>
      </c>
      <c r="G68" s="50">
        <v>27.6</v>
      </c>
      <c r="H68" s="50">
        <v>27.6</v>
      </c>
      <c r="I68" s="50">
        <v>27.6</v>
      </c>
      <c r="J68" s="72">
        <v>19.600000000000001</v>
      </c>
      <c r="K68" s="72">
        <v>28</v>
      </c>
      <c r="L68" s="72">
        <v>28</v>
      </c>
      <c r="M68" s="72">
        <v>28.7</v>
      </c>
      <c r="N68" s="72">
        <v>22.3</v>
      </c>
      <c r="O68" s="72">
        <v>28.1</v>
      </c>
      <c r="P68" s="72">
        <v>28.2</v>
      </c>
      <c r="Q68" s="50">
        <v>28.3</v>
      </c>
      <c r="R68" s="50">
        <v>28.3</v>
      </c>
      <c r="S68" s="72">
        <v>28.4</v>
      </c>
      <c r="T68" s="72">
        <v>28.4</v>
      </c>
      <c r="U68" s="72">
        <v>28.4</v>
      </c>
      <c r="V68" s="72">
        <v>28.4</v>
      </c>
      <c r="W68" s="72">
        <v>28.4</v>
      </c>
      <c r="X68" s="72">
        <v>28.4</v>
      </c>
      <c r="Y68" s="72">
        <v>28.4</v>
      </c>
      <c r="Z68" s="72">
        <v>28.4</v>
      </c>
      <c r="AA68" s="72">
        <v>28.4</v>
      </c>
      <c r="AB68" s="72">
        <v>22.4</v>
      </c>
      <c r="AC68" s="72">
        <v>22.2</v>
      </c>
      <c r="AD68" s="72">
        <v>22.2</v>
      </c>
      <c r="AE68" s="72">
        <v>22.2</v>
      </c>
      <c r="AF68" s="72">
        <v>28</v>
      </c>
      <c r="AG68" s="61">
        <v>32</v>
      </c>
      <c r="AH68" s="52">
        <f t="shared" si="2"/>
        <v>28.7</v>
      </c>
      <c r="AI68" s="53">
        <f t="shared" si="3"/>
        <v>19.600000000000001</v>
      </c>
      <c r="AK68" s="54"/>
    </row>
    <row r="69" spans="1:40" ht="15.75" thickBot="1" x14ac:dyDescent="0.3">
      <c r="A69" s="78" t="s">
        <v>77</v>
      </c>
      <c r="B69" s="50">
        <v>10.1</v>
      </c>
      <c r="C69" s="50">
        <v>10.1</v>
      </c>
      <c r="D69" s="50">
        <v>10.1</v>
      </c>
      <c r="E69" s="50">
        <v>10.1</v>
      </c>
      <c r="F69" s="50">
        <v>10.1</v>
      </c>
      <c r="G69" s="50">
        <v>10.1</v>
      </c>
      <c r="H69" s="50">
        <v>10.1</v>
      </c>
      <c r="I69" s="50">
        <v>10.1</v>
      </c>
      <c r="J69" s="74">
        <v>7.2</v>
      </c>
      <c r="K69" s="74">
        <v>10.199999999999999</v>
      </c>
      <c r="L69" s="74">
        <v>10.199999999999999</v>
      </c>
      <c r="M69" s="74">
        <v>10.5</v>
      </c>
      <c r="N69" s="74">
        <v>8.1</v>
      </c>
      <c r="O69" s="74">
        <v>10.3</v>
      </c>
      <c r="P69" s="74">
        <v>10.3</v>
      </c>
      <c r="Q69" s="50">
        <v>10.3</v>
      </c>
      <c r="R69" s="50">
        <v>10.3</v>
      </c>
      <c r="S69" s="74">
        <v>10.4</v>
      </c>
      <c r="T69" s="74">
        <v>10.4</v>
      </c>
      <c r="U69" s="74">
        <v>10.4</v>
      </c>
      <c r="V69" s="74">
        <v>10.4</v>
      </c>
      <c r="W69" s="74">
        <v>10.4</v>
      </c>
      <c r="X69" s="74">
        <v>10.4</v>
      </c>
      <c r="Y69" s="74">
        <v>10.4</v>
      </c>
      <c r="Z69" s="74">
        <v>10.4</v>
      </c>
      <c r="AA69" s="74">
        <v>10.4</v>
      </c>
      <c r="AB69" s="74">
        <v>8.1999999999999993</v>
      </c>
      <c r="AC69" s="74">
        <v>8.1</v>
      </c>
      <c r="AD69" s="74">
        <v>8.1</v>
      </c>
      <c r="AE69" s="74">
        <v>8.1</v>
      </c>
      <c r="AF69" s="74">
        <v>10.5</v>
      </c>
      <c r="AG69" s="75">
        <v>14</v>
      </c>
      <c r="AH69" s="52">
        <f t="shared" si="2"/>
        <v>10.5</v>
      </c>
      <c r="AI69" s="53">
        <f t="shared" si="3"/>
        <v>7.2</v>
      </c>
      <c r="AK69" s="54"/>
    </row>
    <row r="70" spans="1:40" ht="15.75" thickBot="1" x14ac:dyDescent="0.3">
      <c r="A70" s="81" t="s">
        <v>78</v>
      </c>
      <c r="B70" s="67">
        <f t="shared" ref="B70:L70" si="17">B67+B68+B69</f>
        <v>97.699999999999989</v>
      </c>
      <c r="C70" s="67">
        <f t="shared" si="17"/>
        <v>97.699999999999989</v>
      </c>
      <c r="D70" s="67">
        <f t="shared" si="17"/>
        <v>97.699999999999989</v>
      </c>
      <c r="E70" s="67">
        <f t="shared" si="17"/>
        <v>97.699999999999989</v>
      </c>
      <c r="F70" s="67">
        <f t="shared" si="17"/>
        <v>97.699999999999989</v>
      </c>
      <c r="G70" s="67">
        <f t="shared" si="17"/>
        <v>97.699999999999989</v>
      </c>
      <c r="H70" s="67">
        <f t="shared" si="17"/>
        <v>97.699999999999989</v>
      </c>
      <c r="I70" s="67">
        <f t="shared" si="17"/>
        <v>77.699999999999989</v>
      </c>
      <c r="J70" s="67">
        <f t="shared" si="17"/>
        <v>71.8</v>
      </c>
      <c r="K70" s="67">
        <f t="shared" si="17"/>
        <v>98.2</v>
      </c>
      <c r="L70" s="67">
        <f t="shared" si="17"/>
        <v>98.2</v>
      </c>
      <c r="M70" s="67">
        <f t="shared" ref="M70:AE70" si="18">M67+M68+M69</f>
        <v>99.2</v>
      </c>
      <c r="N70" s="67">
        <f t="shared" si="18"/>
        <v>80.399999999999991</v>
      </c>
      <c r="O70" s="67">
        <f t="shared" si="18"/>
        <v>98.399999999999991</v>
      </c>
      <c r="P70" s="67">
        <f t="shared" si="18"/>
        <v>98.5</v>
      </c>
      <c r="Q70" s="67">
        <f t="shared" si="18"/>
        <v>98.6</v>
      </c>
      <c r="R70" s="67">
        <f t="shared" si="18"/>
        <v>98.6</v>
      </c>
      <c r="S70" s="67">
        <f t="shared" si="18"/>
        <v>98.800000000000011</v>
      </c>
      <c r="T70" s="67">
        <f t="shared" si="18"/>
        <v>98.800000000000011</v>
      </c>
      <c r="U70" s="67">
        <f t="shared" si="18"/>
        <v>98.800000000000011</v>
      </c>
      <c r="V70" s="67">
        <f t="shared" ref="V70:W70" si="19">V67+V68+V69</f>
        <v>98.800000000000011</v>
      </c>
      <c r="W70" s="67">
        <f t="shared" si="19"/>
        <v>98.800000000000011</v>
      </c>
      <c r="X70" s="67">
        <f t="shared" ref="X70" si="20">X67+X68+X69</f>
        <v>98.800000000000011</v>
      </c>
      <c r="Y70" s="67">
        <f t="shared" si="18"/>
        <v>98.800000000000011</v>
      </c>
      <c r="Z70" s="67">
        <v>98.800000000000011</v>
      </c>
      <c r="AA70" s="67">
        <f t="shared" si="18"/>
        <v>98.800000000000011</v>
      </c>
      <c r="AB70" s="67">
        <f t="shared" si="18"/>
        <v>80.600000000000009</v>
      </c>
      <c r="AC70" s="67">
        <f t="shared" si="18"/>
        <v>80.3</v>
      </c>
      <c r="AD70" s="67">
        <f t="shared" si="18"/>
        <v>80.3</v>
      </c>
      <c r="AE70" s="67">
        <f t="shared" si="18"/>
        <v>80.3</v>
      </c>
      <c r="AF70" s="67">
        <f t="shared" ref="AF70" si="21">AF67+AF68+AF69</f>
        <v>98.5</v>
      </c>
      <c r="AG70" s="68">
        <f>SUM(AG67:AG69)</f>
        <v>106</v>
      </c>
      <c r="AH70" s="52">
        <f t="shared" si="2"/>
        <v>99.2</v>
      </c>
      <c r="AI70" s="53">
        <f t="shared" si="3"/>
        <v>71.8</v>
      </c>
      <c r="AK70" s="54"/>
    </row>
    <row r="71" spans="1:40" x14ac:dyDescent="0.25">
      <c r="A71" s="49" t="s">
        <v>79</v>
      </c>
      <c r="B71" s="50">
        <v>70</v>
      </c>
      <c r="C71" s="50">
        <v>70</v>
      </c>
      <c r="D71" s="50">
        <v>75</v>
      </c>
      <c r="E71" s="50">
        <v>75</v>
      </c>
      <c r="F71" s="50">
        <v>75</v>
      </c>
      <c r="G71" s="50">
        <v>65</v>
      </c>
      <c r="H71" s="50">
        <v>66</v>
      </c>
      <c r="I71" s="50">
        <v>71</v>
      </c>
      <c r="J71" s="50">
        <v>75</v>
      </c>
      <c r="K71" s="50">
        <v>62</v>
      </c>
      <c r="L71" s="50">
        <v>66</v>
      </c>
      <c r="M71" s="50">
        <v>67</v>
      </c>
      <c r="N71" s="50">
        <v>66.5</v>
      </c>
      <c r="O71" s="50">
        <v>67</v>
      </c>
      <c r="P71" s="50">
        <v>66</v>
      </c>
      <c r="Q71" s="50">
        <v>68</v>
      </c>
      <c r="R71" s="50">
        <v>75</v>
      </c>
      <c r="S71" s="50">
        <v>65</v>
      </c>
      <c r="T71" s="50">
        <v>72.099999999999994</v>
      </c>
      <c r="U71" s="50">
        <v>74</v>
      </c>
      <c r="V71" s="50">
        <v>70.099999999999994</v>
      </c>
      <c r="W71" s="50">
        <v>70.099999999999994</v>
      </c>
      <c r="X71" s="50">
        <v>67.400000000000006</v>
      </c>
      <c r="Y71" s="50">
        <v>61</v>
      </c>
      <c r="Z71" s="50">
        <v>74.900000000000006</v>
      </c>
      <c r="AA71" s="50">
        <v>75</v>
      </c>
      <c r="AB71" s="50">
        <v>50</v>
      </c>
      <c r="AC71" s="50">
        <v>73.599999999999994</v>
      </c>
      <c r="AD71" s="50">
        <v>65.599999999999994</v>
      </c>
      <c r="AE71" s="50">
        <v>70</v>
      </c>
      <c r="AF71" s="50">
        <v>70</v>
      </c>
      <c r="AG71" s="56"/>
      <c r="AH71" s="52">
        <f t="shared" si="2"/>
        <v>75</v>
      </c>
      <c r="AI71" s="53">
        <f t="shared" si="3"/>
        <v>50</v>
      </c>
      <c r="AK71" s="54"/>
    </row>
    <row r="72" spans="1:40" x14ac:dyDescent="0.25">
      <c r="A72" s="60" t="s">
        <v>80</v>
      </c>
      <c r="B72" s="50">
        <v>0</v>
      </c>
      <c r="C72" s="50">
        <v>0</v>
      </c>
      <c r="D72" s="50">
        <v>0</v>
      </c>
      <c r="E72" s="50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81</v>
      </c>
      <c r="B73" s="50">
        <v>272</v>
      </c>
      <c r="C73" s="50">
        <v>389</v>
      </c>
      <c r="D73" s="50">
        <v>376.4</v>
      </c>
      <c r="E73" s="50">
        <v>376.4</v>
      </c>
      <c r="F73" s="72">
        <v>405</v>
      </c>
      <c r="G73" s="72">
        <v>401</v>
      </c>
      <c r="H73" s="72">
        <v>400.5</v>
      </c>
      <c r="I73" s="72">
        <v>405</v>
      </c>
      <c r="J73" s="72">
        <v>395</v>
      </c>
      <c r="K73" s="72">
        <v>436</v>
      </c>
      <c r="L73" s="72">
        <v>458</v>
      </c>
      <c r="M73" s="72">
        <v>459.3</v>
      </c>
      <c r="N73" s="72">
        <v>493</v>
      </c>
      <c r="O73" s="72">
        <v>491.5</v>
      </c>
      <c r="P73" s="72">
        <v>490</v>
      </c>
      <c r="Q73" s="72">
        <v>479</v>
      </c>
      <c r="R73" s="72">
        <v>490</v>
      </c>
      <c r="S73" s="72">
        <v>492</v>
      </c>
      <c r="T73" s="72">
        <v>477.8</v>
      </c>
      <c r="U73" s="72">
        <v>490</v>
      </c>
      <c r="V73" s="72">
        <v>450</v>
      </c>
      <c r="W73" s="72">
        <v>413</v>
      </c>
      <c r="X73" s="72">
        <v>400</v>
      </c>
      <c r="Y73" s="72">
        <v>410</v>
      </c>
      <c r="Z73" s="72">
        <v>415</v>
      </c>
      <c r="AA73" s="72">
        <v>400</v>
      </c>
      <c r="AB73" s="72">
        <v>382</v>
      </c>
      <c r="AC73" s="72">
        <v>418</v>
      </c>
      <c r="AD73" s="72">
        <v>414</v>
      </c>
      <c r="AE73" s="72">
        <v>373</v>
      </c>
      <c r="AF73" s="72">
        <v>373</v>
      </c>
      <c r="AG73" s="82"/>
      <c r="AH73" s="52">
        <f t="shared" si="2"/>
        <v>493</v>
      </c>
      <c r="AI73" s="53">
        <f t="shared" si="3"/>
        <v>272</v>
      </c>
      <c r="AK73" s="54"/>
    </row>
    <row r="74" spans="1:40" x14ac:dyDescent="0.25">
      <c r="A74" s="60" t="s">
        <v>82</v>
      </c>
      <c r="B74" s="50">
        <v>46.4</v>
      </c>
      <c r="C74" s="50">
        <v>46.4</v>
      </c>
      <c r="D74" s="50">
        <v>46.4</v>
      </c>
      <c r="E74" s="50">
        <v>46.4</v>
      </c>
      <c r="F74" s="83">
        <v>57.6</v>
      </c>
      <c r="G74" s="83">
        <v>57.9</v>
      </c>
      <c r="H74" s="83">
        <v>55</v>
      </c>
      <c r="I74" s="83">
        <v>55</v>
      </c>
      <c r="J74" s="83">
        <v>56.4</v>
      </c>
      <c r="K74" s="83">
        <v>55.3</v>
      </c>
      <c r="L74" s="83">
        <v>44.74</v>
      </c>
      <c r="M74" s="83">
        <v>49.9</v>
      </c>
      <c r="N74" s="83">
        <v>44</v>
      </c>
      <c r="O74" s="83">
        <v>58.1</v>
      </c>
      <c r="P74" s="83">
        <v>54.5</v>
      </c>
      <c r="Q74" s="83">
        <v>55.5</v>
      </c>
      <c r="R74" s="83">
        <v>48.3</v>
      </c>
      <c r="S74" s="83">
        <v>49.1</v>
      </c>
      <c r="T74" s="83">
        <v>64.5</v>
      </c>
      <c r="U74" s="83">
        <v>66</v>
      </c>
      <c r="V74" s="83">
        <v>66</v>
      </c>
      <c r="W74" s="83">
        <v>66</v>
      </c>
      <c r="X74" s="83">
        <v>66</v>
      </c>
      <c r="Y74" s="83">
        <v>50.9</v>
      </c>
      <c r="Z74" s="72">
        <v>52.5</v>
      </c>
      <c r="AA74" s="72">
        <v>54</v>
      </c>
      <c r="AB74" s="72">
        <v>55.4</v>
      </c>
      <c r="AC74" s="72">
        <v>56.1</v>
      </c>
      <c r="AD74" s="72">
        <v>56.1</v>
      </c>
      <c r="AE74" s="72">
        <v>55</v>
      </c>
      <c r="AF74" s="72">
        <v>55</v>
      </c>
      <c r="AG74" s="82"/>
      <c r="AH74" s="52">
        <f t="shared" si="2"/>
        <v>66</v>
      </c>
      <c r="AI74" s="53">
        <f t="shared" si="3"/>
        <v>44</v>
      </c>
      <c r="AK74" s="54"/>
    </row>
    <row r="75" spans="1:40" x14ac:dyDescent="0.25">
      <c r="A75" s="60" t="s">
        <v>83</v>
      </c>
      <c r="B75" s="50">
        <v>0</v>
      </c>
      <c r="C75" s="50">
        <v>0</v>
      </c>
      <c r="D75" s="50">
        <v>0</v>
      </c>
      <c r="E75" s="50">
        <v>0</v>
      </c>
      <c r="F75" s="50">
        <v>22.6</v>
      </c>
      <c r="G75" s="50">
        <v>24.6</v>
      </c>
      <c r="H75" s="50">
        <v>19.2</v>
      </c>
      <c r="I75" s="50">
        <v>22</v>
      </c>
      <c r="J75" s="50">
        <v>24</v>
      </c>
      <c r="K75" s="50">
        <v>23.4</v>
      </c>
      <c r="L75" s="50">
        <v>20.3</v>
      </c>
      <c r="M75" s="50">
        <v>28.9</v>
      </c>
      <c r="N75" s="50">
        <v>27.6</v>
      </c>
      <c r="O75" s="50">
        <v>32.1</v>
      </c>
      <c r="P75" s="50">
        <v>30</v>
      </c>
      <c r="Q75" s="50">
        <v>35.9</v>
      </c>
      <c r="R75" s="50">
        <v>31.2</v>
      </c>
      <c r="S75" s="50">
        <v>30.5</v>
      </c>
      <c r="T75" s="50">
        <v>33.6</v>
      </c>
      <c r="U75" s="50">
        <v>29</v>
      </c>
      <c r="V75" s="50">
        <v>29</v>
      </c>
      <c r="W75" s="50">
        <v>29</v>
      </c>
      <c r="X75" s="50">
        <v>29</v>
      </c>
      <c r="Y75" s="50">
        <v>29</v>
      </c>
      <c r="Z75" s="50">
        <v>29</v>
      </c>
      <c r="AA75" s="50">
        <v>23</v>
      </c>
      <c r="AB75" s="50">
        <v>23.1</v>
      </c>
      <c r="AC75" s="50">
        <v>5.5</v>
      </c>
      <c r="AD75" s="50">
        <v>5.5</v>
      </c>
      <c r="AE75" s="50">
        <v>13.7</v>
      </c>
      <c r="AF75" s="50">
        <v>13.7</v>
      </c>
      <c r="AG75" s="82"/>
      <c r="AH75" s="52">
        <f t="shared" ref="AH75:AH117" si="22">MAX(B75:AF75)</f>
        <v>35.9</v>
      </c>
      <c r="AI75" s="53">
        <f t="shared" ref="AI75:AI117" si="23">MIN(B75:AF75)</f>
        <v>0</v>
      </c>
      <c r="AK75" s="54"/>
    </row>
    <row r="76" spans="1:40" x14ac:dyDescent="0.25">
      <c r="A76" s="60" t="s">
        <v>84</v>
      </c>
      <c r="B76" s="50">
        <v>7</v>
      </c>
      <c r="C76" s="50">
        <v>7</v>
      </c>
      <c r="D76" s="50">
        <v>7</v>
      </c>
      <c r="E76" s="50">
        <v>7</v>
      </c>
      <c r="F76" s="84">
        <v>7</v>
      </c>
      <c r="G76" s="84">
        <v>7</v>
      </c>
      <c r="H76" s="84">
        <v>7</v>
      </c>
      <c r="I76" s="84">
        <v>7</v>
      </c>
      <c r="J76" s="84">
        <v>7</v>
      </c>
      <c r="K76" s="84">
        <v>7</v>
      </c>
      <c r="L76" s="84">
        <v>7</v>
      </c>
      <c r="M76" s="84">
        <v>7</v>
      </c>
      <c r="N76" s="84">
        <v>7</v>
      </c>
      <c r="O76" s="84">
        <v>7</v>
      </c>
      <c r="P76" s="84">
        <v>7</v>
      </c>
      <c r="Q76" s="84">
        <v>7</v>
      </c>
      <c r="R76" s="84">
        <v>7</v>
      </c>
      <c r="S76" s="84">
        <v>7</v>
      </c>
      <c r="T76" s="84">
        <v>7</v>
      </c>
      <c r="U76" s="84">
        <v>7</v>
      </c>
      <c r="V76" s="84">
        <v>7</v>
      </c>
      <c r="W76" s="84">
        <v>7</v>
      </c>
      <c r="X76" s="84">
        <v>7</v>
      </c>
      <c r="Y76" s="84">
        <v>7</v>
      </c>
      <c r="Z76" s="84">
        <v>7</v>
      </c>
      <c r="AA76" s="84">
        <v>7</v>
      </c>
      <c r="AB76" s="84">
        <v>7</v>
      </c>
      <c r="AC76" s="84">
        <v>7</v>
      </c>
      <c r="AD76" s="84">
        <v>7</v>
      </c>
      <c r="AE76" s="84">
        <v>7</v>
      </c>
      <c r="AF76" s="84">
        <v>7</v>
      </c>
      <c r="AG76" s="82"/>
      <c r="AH76" s="52">
        <f t="shared" si="22"/>
        <v>7</v>
      </c>
      <c r="AI76" s="53">
        <f t="shared" si="23"/>
        <v>7</v>
      </c>
      <c r="AK76" s="54"/>
    </row>
    <row r="77" spans="1:40" ht="15.75" thickBot="1" x14ac:dyDescent="0.3">
      <c r="A77" s="60" t="s">
        <v>85</v>
      </c>
      <c r="B77" s="50">
        <v>0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22"/>
        <v>0</v>
      </c>
      <c r="AI77" s="53">
        <f t="shared" si="23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50">
        <v>0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22"/>
        <v>0</v>
      </c>
      <c r="AI78" s="53">
        <f t="shared" si="23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50">
        <v>0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22"/>
        <v>0</v>
      </c>
      <c r="AI79" s="53">
        <f t="shared" si="23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50">
        <v>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22"/>
        <v>0</v>
      </c>
      <c r="AI80" s="53">
        <f t="shared" si="23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50">
        <v>0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22"/>
        <v>0</v>
      </c>
      <c r="AI81" s="53">
        <f t="shared" si="23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:AE82" si="24">SUMIF(B71:B81,"&gt;0")</f>
        <v>395.4</v>
      </c>
      <c r="C82" s="67">
        <f t="shared" si="24"/>
        <v>512.4</v>
      </c>
      <c r="D82" s="67">
        <f t="shared" si="24"/>
        <v>504.79999999999995</v>
      </c>
      <c r="E82" s="67">
        <f t="shared" si="24"/>
        <v>504.79999999999995</v>
      </c>
      <c r="F82" s="67">
        <f t="shared" si="24"/>
        <v>567.20000000000005</v>
      </c>
      <c r="G82" s="67">
        <f t="shared" si="24"/>
        <v>555.5</v>
      </c>
      <c r="H82" s="67">
        <f t="shared" si="24"/>
        <v>547.70000000000005</v>
      </c>
      <c r="I82" s="67">
        <f t="shared" si="24"/>
        <v>560</v>
      </c>
      <c r="J82" s="67">
        <f t="shared" si="24"/>
        <v>557.4</v>
      </c>
      <c r="K82" s="67">
        <f t="shared" si="24"/>
        <v>583.69999999999993</v>
      </c>
      <c r="L82" s="67">
        <f t="shared" si="24"/>
        <v>596.04</v>
      </c>
      <c r="M82" s="67">
        <f t="shared" si="24"/>
        <v>612.09999999999991</v>
      </c>
      <c r="N82" s="67">
        <f t="shared" si="24"/>
        <v>638.1</v>
      </c>
      <c r="O82" s="67">
        <f t="shared" si="24"/>
        <v>655.7</v>
      </c>
      <c r="P82" s="67">
        <f t="shared" si="24"/>
        <v>647.5</v>
      </c>
      <c r="Q82" s="67">
        <f t="shared" si="24"/>
        <v>645.4</v>
      </c>
      <c r="R82" s="67">
        <f t="shared" si="24"/>
        <v>651.5</v>
      </c>
      <c r="S82" s="67">
        <f t="shared" si="24"/>
        <v>643.6</v>
      </c>
      <c r="T82" s="67">
        <f t="shared" si="24"/>
        <v>655</v>
      </c>
      <c r="U82" s="67">
        <f t="shared" si="24"/>
        <v>666</v>
      </c>
      <c r="V82" s="67">
        <f t="shared" ref="V82:W82" si="25">SUMIF(V71:V81,"&gt;0")</f>
        <v>622.1</v>
      </c>
      <c r="W82" s="67">
        <f t="shared" si="25"/>
        <v>585.1</v>
      </c>
      <c r="X82" s="67">
        <f t="shared" ref="X82" si="26">SUMIF(X71:X81,"&gt;0")</f>
        <v>569.4</v>
      </c>
      <c r="Y82" s="67">
        <f t="shared" si="24"/>
        <v>557.9</v>
      </c>
      <c r="Z82" s="67">
        <v>578.4</v>
      </c>
      <c r="AA82" s="67">
        <f t="shared" si="24"/>
        <v>559</v>
      </c>
      <c r="AB82" s="67">
        <f t="shared" si="24"/>
        <v>517.5</v>
      </c>
      <c r="AC82" s="67">
        <f t="shared" si="24"/>
        <v>560.20000000000005</v>
      </c>
      <c r="AD82" s="67">
        <f t="shared" si="24"/>
        <v>548.20000000000005</v>
      </c>
      <c r="AE82" s="67">
        <f t="shared" si="24"/>
        <v>518.70000000000005</v>
      </c>
      <c r="AF82" s="67">
        <f t="shared" ref="AF82" si="27">SUMIF(AF71:AF81,"&gt;0")</f>
        <v>518.70000000000005</v>
      </c>
      <c r="AG82" s="95">
        <f>SUM(AG71:AG81)</f>
        <v>0</v>
      </c>
      <c r="AH82" s="52">
        <f t="shared" si="22"/>
        <v>666</v>
      </c>
      <c r="AI82" s="53">
        <f t="shared" si="23"/>
        <v>395.4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22"/>
        <v>0</v>
      </c>
      <c r="AI83" s="53">
        <f t="shared" si="23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22"/>
        <v>0</v>
      </c>
      <c r="AI84" s="53">
        <f t="shared" si="23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22"/>
        <v>0</v>
      </c>
      <c r="AI85" s="53">
        <f t="shared" si="23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>
        <v>0</v>
      </c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22"/>
        <v>0</v>
      </c>
      <c r="AI86" s="53">
        <f t="shared" si="23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:AG87" si="28">B48+B52+B70+B66+B82+B86</f>
        <v>1316.34</v>
      </c>
      <c r="C87" s="102">
        <f t="shared" si="28"/>
        <v>1313.34</v>
      </c>
      <c r="D87" s="102">
        <f t="shared" si="28"/>
        <v>1237.54</v>
      </c>
      <c r="E87" s="102">
        <f t="shared" si="28"/>
        <v>1192.7399999999998</v>
      </c>
      <c r="F87" s="102">
        <f t="shared" si="28"/>
        <v>1222.24</v>
      </c>
      <c r="G87" s="102">
        <f t="shared" si="28"/>
        <v>1272.04</v>
      </c>
      <c r="H87" s="102">
        <f t="shared" si="28"/>
        <v>1263.44</v>
      </c>
      <c r="I87" s="102">
        <f t="shared" si="28"/>
        <v>1226.1399999999999</v>
      </c>
      <c r="J87" s="102">
        <f t="shared" si="28"/>
        <v>1202.08</v>
      </c>
      <c r="K87" s="102">
        <f t="shared" si="28"/>
        <v>1235.7399999999998</v>
      </c>
      <c r="L87" s="102">
        <f t="shared" si="28"/>
        <v>1271.7799999999997</v>
      </c>
      <c r="M87" s="102">
        <f t="shared" si="28"/>
        <v>1278.9399999999998</v>
      </c>
      <c r="N87" s="102">
        <f t="shared" si="28"/>
        <v>1289.8399999999999</v>
      </c>
      <c r="O87" s="102">
        <f t="shared" si="28"/>
        <v>1330.54</v>
      </c>
      <c r="P87" s="102">
        <f t="shared" si="28"/>
        <v>1340.34</v>
      </c>
      <c r="Q87" s="102">
        <f t="shared" si="28"/>
        <v>1464.04</v>
      </c>
      <c r="R87" s="102">
        <f t="shared" si="28"/>
        <v>1487.8400000000001</v>
      </c>
      <c r="S87" s="102">
        <f t="shared" si="28"/>
        <v>1444.6399999999999</v>
      </c>
      <c r="T87" s="102">
        <f t="shared" si="28"/>
        <v>1516.3400000000001</v>
      </c>
      <c r="U87" s="102">
        <f t="shared" si="28"/>
        <v>1497.3400000000001</v>
      </c>
      <c r="V87" s="102">
        <f t="shared" si="28"/>
        <v>1394.44</v>
      </c>
      <c r="W87" s="102">
        <f t="shared" si="28"/>
        <v>1305.44</v>
      </c>
      <c r="X87" s="102">
        <f t="shared" ref="X87" si="29">X48+X52+X70+X66+X82+X86</f>
        <v>1311.34</v>
      </c>
      <c r="Y87" s="102">
        <f t="shared" si="28"/>
        <v>1357.34</v>
      </c>
      <c r="Z87" s="102">
        <v>1395.7399999999998</v>
      </c>
      <c r="AA87" s="102">
        <f t="shared" si="28"/>
        <v>1409.64</v>
      </c>
      <c r="AB87" s="102">
        <f t="shared" si="28"/>
        <v>1320.1399999999999</v>
      </c>
      <c r="AC87" s="102">
        <f t="shared" si="28"/>
        <v>1297.1399999999999</v>
      </c>
      <c r="AD87" s="102">
        <f t="shared" si="28"/>
        <v>1245.1399999999999</v>
      </c>
      <c r="AE87" s="102">
        <f t="shared" si="28"/>
        <v>1215.6399999999999</v>
      </c>
      <c r="AF87" s="102">
        <f t="shared" ref="AF87" si="30">AF48+AF52+AF70+AF66+AF82+AF86</f>
        <v>1238.44</v>
      </c>
      <c r="AG87" s="68">
        <f t="shared" si="28"/>
        <v>2065.09</v>
      </c>
      <c r="AH87" s="52">
        <f>MAX(B87:AF87)</f>
        <v>1516.3400000000001</v>
      </c>
      <c r="AI87" s="53">
        <f>MIN(B87:AF87)</f>
        <v>1192.7399999999998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/>
      <c r="J88" s="104">
        <v>175</v>
      </c>
      <c r="K88" s="104">
        <v>175</v>
      </c>
      <c r="L88" s="104">
        <v>175</v>
      </c>
      <c r="M88" s="104">
        <v>175</v>
      </c>
      <c r="N88" s="104">
        <v>175</v>
      </c>
      <c r="O88" s="104">
        <v>175</v>
      </c>
      <c r="P88" s="104">
        <v>175</v>
      </c>
      <c r="Q88" s="104"/>
      <c r="R88" s="104"/>
      <c r="S88" s="104">
        <v>50</v>
      </c>
      <c r="T88" s="104"/>
      <c r="U88" s="104"/>
      <c r="V88" s="104">
        <v>50</v>
      </c>
      <c r="W88" s="104">
        <v>180</v>
      </c>
      <c r="X88" s="104">
        <v>181</v>
      </c>
      <c r="Y88" s="104">
        <v>200</v>
      </c>
      <c r="Z88" s="104">
        <v>170</v>
      </c>
      <c r="AA88" s="104">
        <v>150</v>
      </c>
      <c r="AB88" s="104">
        <v>100</v>
      </c>
      <c r="AC88" s="104">
        <v>100</v>
      </c>
      <c r="AD88" s="104"/>
      <c r="AE88" s="104"/>
      <c r="AF88" s="104"/>
      <c r="AG88" s="95"/>
      <c r="AH88" s="52">
        <f t="shared" si="22"/>
        <v>200</v>
      </c>
      <c r="AI88" s="53">
        <f t="shared" si="23"/>
        <v>50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:AE89" si="31">B87+B88</f>
        <v>1316.34</v>
      </c>
      <c r="C89" s="102">
        <f t="shared" si="31"/>
        <v>1313.34</v>
      </c>
      <c r="D89" s="102">
        <f t="shared" si="31"/>
        <v>1237.54</v>
      </c>
      <c r="E89" s="102">
        <f t="shared" si="31"/>
        <v>1192.7399999999998</v>
      </c>
      <c r="F89" s="102">
        <f t="shared" si="31"/>
        <v>1222.24</v>
      </c>
      <c r="G89" s="102">
        <f t="shared" si="31"/>
        <v>1272.04</v>
      </c>
      <c r="H89" s="102">
        <f t="shared" si="31"/>
        <v>1263.44</v>
      </c>
      <c r="I89" s="102">
        <f t="shared" si="31"/>
        <v>1226.1399999999999</v>
      </c>
      <c r="J89" s="102">
        <f t="shared" si="31"/>
        <v>1377.08</v>
      </c>
      <c r="K89" s="102">
        <f t="shared" si="31"/>
        <v>1410.7399999999998</v>
      </c>
      <c r="L89" s="102">
        <f t="shared" si="31"/>
        <v>1446.7799999999997</v>
      </c>
      <c r="M89" s="102">
        <f t="shared" si="31"/>
        <v>1453.9399999999998</v>
      </c>
      <c r="N89" s="102">
        <f t="shared" si="31"/>
        <v>1464.84</v>
      </c>
      <c r="O89" s="102">
        <f t="shared" si="31"/>
        <v>1505.54</v>
      </c>
      <c r="P89" s="102">
        <f t="shared" si="31"/>
        <v>1515.34</v>
      </c>
      <c r="Q89" s="102">
        <f t="shared" si="31"/>
        <v>1464.04</v>
      </c>
      <c r="R89" s="102">
        <f t="shared" si="31"/>
        <v>1487.8400000000001</v>
      </c>
      <c r="S89" s="102">
        <f t="shared" si="31"/>
        <v>1494.6399999999999</v>
      </c>
      <c r="T89" s="102">
        <f t="shared" si="31"/>
        <v>1516.3400000000001</v>
      </c>
      <c r="U89" s="102">
        <f t="shared" si="31"/>
        <v>1497.3400000000001</v>
      </c>
      <c r="V89" s="102">
        <f t="shared" si="31"/>
        <v>1444.44</v>
      </c>
      <c r="W89" s="102">
        <f t="shared" si="31"/>
        <v>1485.44</v>
      </c>
      <c r="X89" s="102">
        <f t="shared" ref="X89" si="32">X87+X88</f>
        <v>1492.34</v>
      </c>
      <c r="Y89" s="102">
        <f t="shared" si="31"/>
        <v>1557.34</v>
      </c>
      <c r="Z89" s="102">
        <v>1565.7399999999998</v>
      </c>
      <c r="AA89" s="102">
        <f t="shared" si="31"/>
        <v>1559.64</v>
      </c>
      <c r="AB89" s="102">
        <f t="shared" si="31"/>
        <v>1420.1399999999999</v>
      </c>
      <c r="AC89" s="102">
        <f t="shared" si="31"/>
        <v>1397.1399999999999</v>
      </c>
      <c r="AD89" s="102">
        <f t="shared" si="31"/>
        <v>1245.1399999999999</v>
      </c>
      <c r="AE89" s="102">
        <f t="shared" si="31"/>
        <v>1215.6399999999999</v>
      </c>
      <c r="AF89" s="102">
        <f t="shared" ref="AF89" si="33">AF87+AF88</f>
        <v>1238.44</v>
      </c>
      <c r="AG89" s="95">
        <f>AG86+AG82+AG70+AG66+AG48+AG88</f>
        <v>1526.99</v>
      </c>
      <c r="AH89" s="52">
        <f t="shared" si="22"/>
        <v>1565.7399999999998</v>
      </c>
      <c r="AI89" s="53">
        <f t="shared" si="23"/>
        <v>1192.7399999999998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:AE90" si="34">B89-B97</f>
        <v>1316.34</v>
      </c>
      <c r="C90" s="102">
        <f t="shared" si="34"/>
        <v>1313.34</v>
      </c>
      <c r="D90" s="102">
        <f t="shared" si="34"/>
        <v>1237.54</v>
      </c>
      <c r="E90" s="102">
        <f t="shared" si="34"/>
        <v>1192.7399999999998</v>
      </c>
      <c r="F90" s="102">
        <f t="shared" si="34"/>
        <v>1222.24</v>
      </c>
      <c r="G90" s="102">
        <f t="shared" si="34"/>
        <v>1272.04</v>
      </c>
      <c r="H90" s="102">
        <f t="shared" si="34"/>
        <v>1263.44</v>
      </c>
      <c r="I90" s="102">
        <f t="shared" si="34"/>
        <v>1226.1399999999999</v>
      </c>
      <c r="J90" s="102">
        <f t="shared" si="34"/>
        <v>1377.08</v>
      </c>
      <c r="K90" s="102">
        <f t="shared" si="34"/>
        <v>1410.7399999999998</v>
      </c>
      <c r="L90" s="102">
        <f t="shared" si="34"/>
        <v>1446.7799999999997</v>
      </c>
      <c r="M90" s="102">
        <f t="shared" si="34"/>
        <v>1453.9399999999998</v>
      </c>
      <c r="N90" s="102">
        <f t="shared" si="34"/>
        <v>1464.84</v>
      </c>
      <c r="O90" s="102">
        <f t="shared" si="34"/>
        <v>1505.54</v>
      </c>
      <c r="P90" s="102">
        <f t="shared" si="34"/>
        <v>1515.34</v>
      </c>
      <c r="Q90" s="102">
        <f t="shared" si="34"/>
        <v>1464.04</v>
      </c>
      <c r="R90" s="102">
        <f t="shared" si="34"/>
        <v>1487.8400000000001</v>
      </c>
      <c r="S90" s="102">
        <f t="shared" si="34"/>
        <v>1494.6399999999999</v>
      </c>
      <c r="T90" s="102">
        <f t="shared" si="34"/>
        <v>1516.3400000000001</v>
      </c>
      <c r="U90" s="102">
        <f t="shared" si="34"/>
        <v>1497.3400000000001</v>
      </c>
      <c r="V90" s="102">
        <f t="shared" si="34"/>
        <v>1444.44</v>
      </c>
      <c r="W90" s="102">
        <f t="shared" si="34"/>
        <v>1485.44</v>
      </c>
      <c r="X90" s="102">
        <f t="shared" ref="X90" si="35">X89-X97</f>
        <v>1492.34</v>
      </c>
      <c r="Y90" s="102">
        <f t="shared" si="34"/>
        <v>1557.34</v>
      </c>
      <c r="Z90" s="102">
        <v>1565.7399999999998</v>
      </c>
      <c r="AA90" s="102">
        <f t="shared" si="34"/>
        <v>1559.64</v>
      </c>
      <c r="AB90" s="102">
        <f t="shared" si="34"/>
        <v>1420.1399999999999</v>
      </c>
      <c r="AC90" s="102">
        <f t="shared" si="34"/>
        <v>1397.1399999999999</v>
      </c>
      <c r="AD90" s="102">
        <f t="shared" si="34"/>
        <v>1245.1399999999999</v>
      </c>
      <c r="AE90" s="102">
        <f t="shared" si="34"/>
        <v>1215.6399999999999</v>
      </c>
      <c r="AF90" s="102">
        <f t="shared" ref="AF90" si="36">AF89-AF97</f>
        <v>1238.44</v>
      </c>
      <c r="AG90" s="95"/>
      <c r="AH90" s="52">
        <f t="shared" si="22"/>
        <v>1565.7399999999998</v>
      </c>
      <c r="AI90" s="53">
        <f t="shared" si="23"/>
        <v>1192.7399999999998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22"/>
        <v>0</v>
      </c>
      <c r="AI91" s="53">
        <f t="shared" si="23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22"/>
        <v>0</v>
      </c>
      <c r="AI92" s="53">
        <f t="shared" si="23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22"/>
        <v>0</v>
      </c>
      <c r="AI93" s="53">
        <f t="shared" si="23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22"/>
        <v>0</v>
      </c>
      <c r="AI94" s="53">
        <f t="shared" si="23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22"/>
        <v>0</v>
      </c>
      <c r="AI95" s="53">
        <f t="shared" si="23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22"/>
        <v>0</v>
      </c>
      <c r="AI96" s="53">
        <f t="shared" si="23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>
        <v>0</v>
      </c>
      <c r="AA97" s="67"/>
      <c r="AB97" s="67"/>
      <c r="AC97" s="67"/>
      <c r="AD97" s="67"/>
      <c r="AE97" s="67"/>
      <c r="AF97" s="67"/>
      <c r="AG97" s="95"/>
      <c r="AH97" s="52">
        <f t="shared" si="22"/>
        <v>0</v>
      </c>
      <c r="AI97" s="53">
        <f t="shared" si="23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:AE98" si="37">B82-B97</f>
        <v>395.4</v>
      </c>
      <c r="C98" s="67">
        <f t="shared" si="37"/>
        <v>512.4</v>
      </c>
      <c r="D98" s="67">
        <f t="shared" si="37"/>
        <v>504.79999999999995</v>
      </c>
      <c r="E98" s="67">
        <f t="shared" si="37"/>
        <v>504.79999999999995</v>
      </c>
      <c r="F98" s="67">
        <f t="shared" si="37"/>
        <v>567.20000000000005</v>
      </c>
      <c r="G98" s="67">
        <f t="shared" si="37"/>
        <v>555.5</v>
      </c>
      <c r="H98" s="67">
        <f t="shared" si="37"/>
        <v>547.70000000000005</v>
      </c>
      <c r="I98" s="67">
        <f t="shared" si="37"/>
        <v>560</v>
      </c>
      <c r="J98" s="67">
        <f t="shared" si="37"/>
        <v>557.4</v>
      </c>
      <c r="K98" s="67">
        <f t="shared" si="37"/>
        <v>583.69999999999993</v>
      </c>
      <c r="L98" s="67">
        <f t="shared" si="37"/>
        <v>596.04</v>
      </c>
      <c r="M98" s="67">
        <f t="shared" si="37"/>
        <v>612.09999999999991</v>
      </c>
      <c r="N98" s="67">
        <f t="shared" si="37"/>
        <v>638.1</v>
      </c>
      <c r="O98" s="67">
        <f t="shared" si="37"/>
        <v>655.7</v>
      </c>
      <c r="P98" s="67">
        <f t="shared" si="37"/>
        <v>647.5</v>
      </c>
      <c r="Q98" s="67">
        <f t="shared" si="37"/>
        <v>645.4</v>
      </c>
      <c r="R98" s="67">
        <f t="shared" si="37"/>
        <v>651.5</v>
      </c>
      <c r="S98" s="67">
        <f t="shared" si="37"/>
        <v>643.6</v>
      </c>
      <c r="T98" s="67">
        <f t="shared" si="37"/>
        <v>655</v>
      </c>
      <c r="U98" s="67">
        <f t="shared" si="37"/>
        <v>666</v>
      </c>
      <c r="V98" s="67">
        <f t="shared" si="37"/>
        <v>622.1</v>
      </c>
      <c r="W98" s="67">
        <f t="shared" si="37"/>
        <v>585.1</v>
      </c>
      <c r="X98" s="67">
        <f t="shared" si="37"/>
        <v>569.4</v>
      </c>
      <c r="Y98" s="67">
        <f t="shared" si="37"/>
        <v>557.9</v>
      </c>
      <c r="Z98" s="67">
        <v>578.4</v>
      </c>
      <c r="AA98" s="67">
        <f t="shared" si="37"/>
        <v>559</v>
      </c>
      <c r="AB98" s="67">
        <f t="shared" si="37"/>
        <v>517.5</v>
      </c>
      <c r="AC98" s="67">
        <f t="shared" si="37"/>
        <v>560.20000000000005</v>
      </c>
      <c r="AD98" s="67">
        <f t="shared" si="37"/>
        <v>548.20000000000005</v>
      </c>
      <c r="AE98" s="67">
        <f t="shared" si="37"/>
        <v>518.70000000000005</v>
      </c>
      <c r="AF98" s="67">
        <f t="shared" ref="AF98" si="38">AF82-AF97</f>
        <v>518.70000000000005</v>
      </c>
      <c r="AG98" s="95"/>
      <c r="AH98" s="52">
        <f t="shared" si="22"/>
        <v>666</v>
      </c>
      <c r="AI98" s="53">
        <f t="shared" si="23"/>
        <v>395.4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50.167999999999999</v>
      </c>
      <c r="C99" s="108">
        <v>49.970999999999997</v>
      </c>
      <c r="D99" s="108">
        <v>50.057000000000002</v>
      </c>
      <c r="E99" s="108">
        <v>49.976999999999997</v>
      </c>
      <c r="F99" s="108">
        <v>50.09</v>
      </c>
      <c r="G99" s="108">
        <v>49.945</v>
      </c>
      <c r="H99" s="108">
        <v>49.942999999999998</v>
      </c>
      <c r="I99" s="108">
        <v>49.9</v>
      </c>
      <c r="J99" s="108">
        <v>50.030999999999999</v>
      </c>
      <c r="K99" s="108">
        <v>50.012999999999998</v>
      </c>
      <c r="L99" s="108">
        <v>49.975999999999999</v>
      </c>
      <c r="M99" s="108">
        <v>50.02</v>
      </c>
      <c r="N99" s="108">
        <v>50.290999999999997</v>
      </c>
      <c r="O99" s="108">
        <v>50.183999999999997</v>
      </c>
      <c r="P99" s="108">
        <v>50.027000000000001</v>
      </c>
      <c r="Q99" s="108">
        <v>50.04</v>
      </c>
      <c r="R99" s="108">
        <v>50.02</v>
      </c>
      <c r="S99" s="108">
        <v>49.997</v>
      </c>
      <c r="T99" s="108">
        <v>50.1</v>
      </c>
      <c r="U99" s="108">
        <v>49.95</v>
      </c>
      <c r="V99" s="108">
        <v>49.93</v>
      </c>
      <c r="W99" s="108">
        <v>49.98</v>
      </c>
      <c r="X99" s="108">
        <v>50</v>
      </c>
      <c r="Y99" s="108">
        <v>49.85</v>
      </c>
      <c r="Z99" s="108">
        <v>50.11</v>
      </c>
      <c r="AA99" s="108">
        <v>49.84</v>
      </c>
      <c r="AB99" s="108">
        <v>50.04</v>
      </c>
      <c r="AC99" s="108">
        <v>50.055999999999997</v>
      </c>
      <c r="AD99" s="108">
        <v>50.055999999999997</v>
      </c>
      <c r="AE99" s="108">
        <v>49.927999999999997</v>
      </c>
      <c r="AF99" s="108">
        <v>50.021999999999998</v>
      </c>
      <c r="AG99" s="109"/>
      <c r="AH99" s="52">
        <f t="shared" si="22"/>
        <v>50.290999999999997</v>
      </c>
      <c r="AI99" s="53">
        <f t="shared" si="23"/>
        <v>49.84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126.9</v>
      </c>
      <c r="C100" s="72">
        <v>126.9</v>
      </c>
      <c r="D100" s="72">
        <v>128.5</v>
      </c>
      <c r="E100" s="72">
        <v>128.5</v>
      </c>
      <c r="F100" s="72">
        <v>128.5</v>
      </c>
      <c r="G100" s="72">
        <v>128.5</v>
      </c>
      <c r="H100" s="72">
        <v>128.5</v>
      </c>
      <c r="I100" s="72">
        <v>128.5</v>
      </c>
      <c r="J100" s="72">
        <v>127.9</v>
      </c>
      <c r="K100" s="72">
        <v>127.9</v>
      </c>
      <c r="L100" s="72">
        <v>127.9</v>
      </c>
      <c r="M100" s="72">
        <v>126.3</v>
      </c>
      <c r="N100" s="72">
        <v>125.5</v>
      </c>
      <c r="O100" s="72">
        <v>125.3</v>
      </c>
      <c r="P100" s="72">
        <v>126.1</v>
      </c>
      <c r="Q100" s="72">
        <v>125.5</v>
      </c>
      <c r="R100" s="72">
        <v>124.6</v>
      </c>
      <c r="S100" s="72">
        <v>125.4</v>
      </c>
      <c r="T100" s="72">
        <v>125.1</v>
      </c>
      <c r="U100" s="72">
        <v>125.1</v>
      </c>
      <c r="V100" s="72">
        <v>126.7</v>
      </c>
      <c r="W100" s="72">
        <v>127</v>
      </c>
      <c r="X100" s="72">
        <v>127</v>
      </c>
      <c r="Y100" s="72">
        <v>127.3</v>
      </c>
      <c r="Z100" s="72">
        <v>128.4</v>
      </c>
      <c r="AA100" s="72">
        <v>128.4</v>
      </c>
      <c r="AB100" s="72">
        <v>127.5</v>
      </c>
      <c r="AC100" s="72">
        <v>125.8</v>
      </c>
      <c r="AD100" s="72">
        <v>125.8</v>
      </c>
      <c r="AE100" s="72">
        <v>124.9</v>
      </c>
      <c r="AF100" s="72">
        <v>125.1</v>
      </c>
      <c r="AG100" s="111"/>
      <c r="AH100" s="52">
        <f t="shared" si="22"/>
        <v>128.5</v>
      </c>
      <c r="AI100" s="53">
        <f t="shared" si="23"/>
        <v>124.6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131.4</v>
      </c>
      <c r="C101" s="72">
        <v>131.4</v>
      </c>
      <c r="D101" s="72">
        <v>132.80000000000001</v>
      </c>
      <c r="E101" s="72">
        <v>132.80000000000001</v>
      </c>
      <c r="F101" s="72">
        <v>132.80000000000001</v>
      </c>
      <c r="G101" s="72">
        <v>132.80000000000001</v>
      </c>
      <c r="H101" s="72">
        <v>132.80000000000001</v>
      </c>
      <c r="I101" s="72">
        <v>132.80000000000001</v>
      </c>
      <c r="J101" s="72">
        <v>132.80000000000001</v>
      </c>
      <c r="K101" s="72">
        <v>132.80000000000001</v>
      </c>
      <c r="L101" s="72">
        <v>132.80000000000001</v>
      </c>
      <c r="M101" s="72">
        <v>128.69999999999999</v>
      </c>
      <c r="N101" s="72">
        <v>127.9</v>
      </c>
      <c r="O101" s="72">
        <v>127.7</v>
      </c>
      <c r="P101" s="72">
        <v>128.6</v>
      </c>
      <c r="Q101" s="72">
        <v>129</v>
      </c>
      <c r="R101" s="72">
        <v>128.30000000000001</v>
      </c>
      <c r="S101" s="72">
        <v>129</v>
      </c>
      <c r="T101" s="72">
        <v>128.69999999999999</v>
      </c>
      <c r="U101" s="72">
        <v>128.69999999999999</v>
      </c>
      <c r="V101" s="72">
        <v>129.9</v>
      </c>
      <c r="W101" s="72">
        <v>130</v>
      </c>
      <c r="X101" s="72">
        <v>130</v>
      </c>
      <c r="Y101" s="72">
        <v>130.19999999999999</v>
      </c>
      <c r="Z101" s="72">
        <v>131.30000000000001</v>
      </c>
      <c r="AA101" s="72">
        <v>131.30000000000001</v>
      </c>
      <c r="AB101" s="72">
        <v>130.5</v>
      </c>
      <c r="AC101" s="72">
        <v>129.12</v>
      </c>
      <c r="AD101" s="72">
        <v>129.12</v>
      </c>
      <c r="AE101" s="72">
        <v>129</v>
      </c>
      <c r="AF101" s="72">
        <v>129.19999999999999</v>
      </c>
      <c r="AG101" s="111"/>
      <c r="AH101" s="52">
        <f t="shared" si="22"/>
        <v>132.80000000000001</v>
      </c>
      <c r="AI101" s="53">
        <f t="shared" si="23"/>
        <v>127.7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131.6</v>
      </c>
      <c r="C102" s="72">
        <v>131.6</v>
      </c>
      <c r="D102" s="72">
        <v>132.6</v>
      </c>
      <c r="E102" s="72">
        <v>132.6</v>
      </c>
      <c r="F102" s="72">
        <v>132.6</v>
      </c>
      <c r="G102" s="72">
        <v>132.6</v>
      </c>
      <c r="H102" s="72">
        <v>132.6</v>
      </c>
      <c r="I102" s="72">
        <v>132.6</v>
      </c>
      <c r="J102" s="72">
        <v>132.6</v>
      </c>
      <c r="K102" s="72">
        <v>132.6</v>
      </c>
      <c r="L102" s="72">
        <v>132.6</v>
      </c>
      <c r="M102" s="72">
        <v>129</v>
      </c>
      <c r="N102" s="72">
        <v>127.6</v>
      </c>
      <c r="O102" s="72">
        <v>128.69999999999999</v>
      </c>
      <c r="P102" s="72">
        <v>127.1</v>
      </c>
      <c r="Q102" s="72">
        <v>129.9</v>
      </c>
      <c r="R102" s="72">
        <v>126.2</v>
      </c>
      <c r="S102" s="72">
        <v>127.5</v>
      </c>
      <c r="T102" s="72">
        <v>129.4</v>
      </c>
      <c r="U102" s="72">
        <v>129.4</v>
      </c>
      <c r="V102" s="72">
        <v>130.80000000000001</v>
      </c>
      <c r="W102" s="72">
        <v>132.5</v>
      </c>
      <c r="X102" s="72">
        <v>132.5</v>
      </c>
      <c r="Y102" s="72">
        <v>128.1</v>
      </c>
      <c r="Z102" s="72">
        <v>130.30000000000001</v>
      </c>
      <c r="AA102" s="72">
        <v>130.30000000000001</v>
      </c>
      <c r="AB102" s="72">
        <v>130.69999999999999</v>
      </c>
      <c r="AC102" s="72">
        <v>129.5</v>
      </c>
      <c r="AD102" s="72">
        <v>129.5</v>
      </c>
      <c r="AE102" s="72">
        <v>131.30000000000001</v>
      </c>
      <c r="AF102" s="72">
        <v>127.6</v>
      </c>
      <c r="AG102" s="111"/>
      <c r="AH102" s="52">
        <f t="shared" si="22"/>
        <v>132.6</v>
      </c>
      <c r="AI102" s="53">
        <f t="shared" si="23"/>
        <v>126.2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22"/>
        <v>0</v>
      </c>
      <c r="AI103" s="53">
        <f t="shared" si="23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130.4</v>
      </c>
      <c r="C104" s="113">
        <v>130.4</v>
      </c>
      <c r="D104" s="113">
        <v>132.9</v>
      </c>
      <c r="E104" s="113">
        <v>132.9</v>
      </c>
      <c r="F104" s="113">
        <v>132.9</v>
      </c>
      <c r="G104" s="113">
        <v>132.9</v>
      </c>
      <c r="H104" s="113">
        <v>132.9</v>
      </c>
      <c r="I104" s="113">
        <v>132.9</v>
      </c>
      <c r="J104" s="113">
        <v>132.9</v>
      </c>
      <c r="K104" s="113">
        <v>132.9</v>
      </c>
      <c r="L104" s="113">
        <v>132.9</v>
      </c>
      <c r="M104" s="113">
        <v>128.80000000000001</v>
      </c>
      <c r="N104" s="113">
        <v>126</v>
      </c>
      <c r="O104" s="113">
        <v>125.5</v>
      </c>
      <c r="P104" s="113">
        <v>131.4</v>
      </c>
      <c r="Q104" s="113">
        <v>134.30000000000001</v>
      </c>
      <c r="R104" s="113">
        <v>131.19999999999999</v>
      </c>
      <c r="S104" s="113">
        <v>132</v>
      </c>
      <c r="T104" s="113">
        <v>132</v>
      </c>
      <c r="U104" s="113">
        <v>132</v>
      </c>
      <c r="V104" s="113">
        <v>133.80000000000001</v>
      </c>
      <c r="W104" s="113">
        <v>135.4</v>
      </c>
      <c r="X104" s="113">
        <v>135.4</v>
      </c>
      <c r="Y104" s="113">
        <v>135.80000000000001</v>
      </c>
      <c r="Z104" s="113">
        <v>135.1</v>
      </c>
      <c r="AA104" s="113">
        <v>135.1</v>
      </c>
      <c r="AB104" s="113">
        <v>132.30000000000001</v>
      </c>
      <c r="AC104" s="113">
        <v>128.4</v>
      </c>
      <c r="AD104" s="113">
        <v>128.4</v>
      </c>
      <c r="AE104" s="113">
        <v>126.1</v>
      </c>
      <c r="AF104" s="113">
        <v>126.2</v>
      </c>
      <c r="AG104" s="114"/>
      <c r="AH104" s="52">
        <f t="shared" si="22"/>
        <v>135.80000000000001</v>
      </c>
      <c r="AI104" s="53">
        <f t="shared" si="23"/>
        <v>125.5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132.6</v>
      </c>
      <c r="C105" s="72">
        <v>132.6</v>
      </c>
      <c r="D105" s="72">
        <v>130.19999999999999</v>
      </c>
      <c r="E105" s="72">
        <v>130.19999999999999</v>
      </c>
      <c r="F105" s="72">
        <v>130.19999999999999</v>
      </c>
      <c r="G105" s="72">
        <v>130.19999999999999</v>
      </c>
      <c r="H105" s="72">
        <v>130.19999999999999</v>
      </c>
      <c r="I105" s="72">
        <v>130.19999999999999</v>
      </c>
      <c r="J105" s="72">
        <v>130.19999999999999</v>
      </c>
      <c r="K105" s="72">
        <v>130.19999999999999</v>
      </c>
      <c r="L105" s="72">
        <v>130.19999999999999</v>
      </c>
      <c r="M105" s="72">
        <v>130.5</v>
      </c>
      <c r="N105" s="72">
        <v>131.69999999999999</v>
      </c>
      <c r="O105" s="72">
        <v>129.1</v>
      </c>
      <c r="P105" s="72">
        <v>130.30000000000001</v>
      </c>
      <c r="Q105" s="72">
        <v>132.30000000000001</v>
      </c>
      <c r="R105" s="72">
        <v>128.5</v>
      </c>
      <c r="S105" s="72">
        <v>128</v>
      </c>
      <c r="T105" s="72">
        <v>127</v>
      </c>
      <c r="U105" s="72">
        <v>127</v>
      </c>
      <c r="V105" s="72">
        <v>132.4</v>
      </c>
      <c r="W105" s="72">
        <v>132.4</v>
      </c>
      <c r="X105" s="72">
        <v>132.4</v>
      </c>
      <c r="Y105" s="72">
        <v>134.6</v>
      </c>
      <c r="Z105" s="72">
        <v>133.69999999999999</v>
      </c>
      <c r="AA105" s="72">
        <v>133.69999999999999</v>
      </c>
      <c r="AB105" s="72">
        <v>129.5</v>
      </c>
      <c r="AC105" s="72">
        <v>130.30000000000001</v>
      </c>
      <c r="AD105" s="72">
        <v>130.30000000000001</v>
      </c>
      <c r="AE105" s="72">
        <v>130.9</v>
      </c>
      <c r="AF105" s="72">
        <v>132.1</v>
      </c>
      <c r="AG105" s="111"/>
      <c r="AH105" s="52">
        <f t="shared" si="22"/>
        <v>134.6</v>
      </c>
      <c r="AI105" s="53">
        <f t="shared" si="23"/>
        <v>127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66</v>
      </c>
      <c r="C106" s="99">
        <v>66</v>
      </c>
      <c r="D106" s="99">
        <v>66.5</v>
      </c>
      <c r="E106" s="99">
        <v>66.5</v>
      </c>
      <c r="F106" s="99">
        <v>66.5</v>
      </c>
      <c r="G106" s="99">
        <v>66.5</v>
      </c>
      <c r="H106" s="99">
        <v>66.5</v>
      </c>
      <c r="I106" s="99">
        <v>66.5</v>
      </c>
      <c r="J106" s="99">
        <v>65</v>
      </c>
      <c r="K106" s="99">
        <v>65</v>
      </c>
      <c r="L106" s="99">
        <v>65</v>
      </c>
      <c r="M106" s="99">
        <v>64.3</v>
      </c>
      <c r="N106" s="99">
        <v>64.3</v>
      </c>
      <c r="O106" s="99">
        <v>64</v>
      </c>
      <c r="P106" s="99">
        <v>64.3</v>
      </c>
      <c r="Q106" s="99">
        <v>64.599999999999994</v>
      </c>
      <c r="R106" s="99">
        <v>64.5</v>
      </c>
      <c r="S106" s="99">
        <v>64.7</v>
      </c>
      <c r="T106" s="99">
        <v>64.5</v>
      </c>
      <c r="U106" s="99">
        <v>64.5</v>
      </c>
      <c r="V106" s="99">
        <v>65</v>
      </c>
      <c r="W106" s="99">
        <v>65.2</v>
      </c>
      <c r="X106" s="99">
        <v>65.2</v>
      </c>
      <c r="Y106" s="99">
        <v>65.5</v>
      </c>
      <c r="Z106" s="99">
        <v>65.900000000000006</v>
      </c>
      <c r="AA106" s="99">
        <v>65.900000000000006</v>
      </c>
      <c r="AB106" s="99">
        <v>65.7</v>
      </c>
      <c r="AC106" s="99">
        <v>65</v>
      </c>
      <c r="AD106" s="99">
        <v>65</v>
      </c>
      <c r="AE106" s="99">
        <v>65</v>
      </c>
      <c r="AF106" s="99">
        <v>65</v>
      </c>
      <c r="AG106" s="115"/>
      <c r="AH106" s="52">
        <f t="shared" si="22"/>
        <v>66.5</v>
      </c>
      <c r="AI106" s="53">
        <f t="shared" si="23"/>
        <v>64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 t="s">
        <v>115</v>
      </c>
      <c r="AA107" s="99"/>
      <c r="AB107" s="99"/>
      <c r="AC107" s="99"/>
      <c r="AD107" s="99"/>
      <c r="AE107" s="99"/>
      <c r="AF107" s="99"/>
      <c r="AG107" s="115"/>
      <c r="AH107" s="52">
        <f t="shared" si="22"/>
        <v>0</v>
      </c>
      <c r="AI107" s="53">
        <f t="shared" si="23"/>
        <v>0</v>
      </c>
    </row>
    <row r="108" spans="1:88" ht="15.75" thickBot="1" x14ac:dyDescent="0.3">
      <c r="A108" s="117" t="s">
        <v>116</v>
      </c>
      <c r="B108" s="118">
        <f t="shared" ref="B108:AE108" si="39">SUM(B18,B24,B27:B28,B56,B58:B59,B61,B63,B109:B113,B135,B141,B147,B156,B158,B170,B177,B180:B181,B188,B190,B192,B196:B198,B200:B202,B207,B213:B214,B216:B218,B226,B231)</f>
        <v>123.99999999999997</v>
      </c>
      <c r="C108" s="118">
        <f t="shared" si="39"/>
        <v>118.03999999999999</v>
      </c>
      <c r="D108" s="118">
        <f t="shared" si="39"/>
        <v>121.63999999999999</v>
      </c>
      <c r="E108" s="118">
        <f t="shared" si="39"/>
        <v>121.03999999999999</v>
      </c>
      <c r="F108" s="118">
        <f t="shared" si="39"/>
        <v>121.73999999999998</v>
      </c>
      <c r="G108" s="118">
        <f t="shared" si="39"/>
        <v>144.33999999999997</v>
      </c>
      <c r="H108" s="118">
        <f t="shared" si="39"/>
        <v>190.73999999999998</v>
      </c>
      <c r="I108" s="118">
        <f t="shared" si="39"/>
        <v>208.34</v>
      </c>
      <c r="J108" s="118">
        <f t="shared" si="39"/>
        <v>237.54000000000002</v>
      </c>
      <c r="K108" s="118">
        <f t="shared" si="39"/>
        <v>264.64</v>
      </c>
      <c r="L108" s="118">
        <f t="shared" si="39"/>
        <v>280.74</v>
      </c>
      <c r="M108" s="118">
        <f t="shared" si="39"/>
        <v>286.83999999999997</v>
      </c>
      <c r="N108" s="118">
        <f t="shared" si="39"/>
        <v>240.24</v>
      </c>
      <c r="O108" s="118">
        <f t="shared" si="39"/>
        <v>239.04000000000002</v>
      </c>
      <c r="P108" s="118">
        <v>42</v>
      </c>
      <c r="Q108" s="118">
        <f t="shared" si="39"/>
        <v>266.3</v>
      </c>
      <c r="R108" s="118">
        <f t="shared" si="39"/>
        <v>223.20000000000002</v>
      </c>
      <c r="S108" s="118">
        <f t="shared" si="39"/>
        <v>223</v>
      </c>
      <c r="T108" s="118">
        <f t="shared" si="39"/>
        <v>134.10000000000002</v>
      </c>
      <c r="U108" s="118">
        <f t="shared" si="39"/>
        <v>272</v>
      </c>
      <c r="V108" s="118">
        <f t="shared" si="39"/>
        <v>233.6</v>
      </c>
      <c r="W108" s="118">
        <f t="shared" si="39"/>
        <v>237.60000000000002</v>
      </c>
      <c r="X108" s="118">
        <f t="shared" ref="X108" si="40">SUM(X18,X24,X27:X28,X56,X58:X59,X61,X63,X109:X113,X135,X141,X147,X156,X158,X170,X177,X180:X181,X188,X190,X192,X196:X198,X200:X202,X207,X213:X214,X216:X218,X226,X231)</f>
        <v>237.60000000000002</v>
      </c>
      <c r="Y108" s="118">
        <f t="shared" si="39"/>
        <v>274.60000000000002</v>
      </c>
      <c r="Z108" s="118">
        <v>348.49708333333331</v>
      </c>
      <c r="AA108" s="118">
        <f t="shared" si="39"/>
        <v>308</v>
      </c>
      <c r="AB108" s="118">
        <f t="shared" si="39"/>
        <v>269.39999999999998</v>
      </c>
      <c r="AC108" s="118">
        <f t="shared" si="39"/>
        <v>291.39999999999998</v>
      </c>
      <c r="AD108" s="118">
        <f t="shared" si="39"/>
        <v>292.10000000000002</v>
      </c>
      <c r="AE108" s="118">
        <f t="shared" si="39"/>
        <v>173.5</v>
      </c>
      <c r="AF108" s="118">
        <f t="shared" ref="AF108" si="41">SUM(AF18,AF24,AF27:AF28,AF56,AF58:AF59,AF61,AF63,AF109:AF113,AF135,AF141,AF147,AF156,AF158,AF170,AF177,AF180:AF181,AF188,AF190,AF192,AF196:AF198,AF200:AF202,AF207,AF213:AF214,AF216:AF218,AF226,AF231)</f>
        <v>139</v>
      </c>
      <c r="AG108" s="119"/>
      <c r="AH108" s="52">
        <f t="shared" si="22"/>
        <v>348.49708333333331</v>
      </c>
      <c r="AI108" s="53">
        <f t="shared" si="23"/>
        <v>42</v>
      </c>
    </row>
    <row r="109" spans="1:88" x14ac:dyDescent="0.25">
      <c r="A109" s="107" t="s">
        <v>117</v>
      </c>
      <c r="B109" s="120">
        <v>-15.2</v>
      </c>
      <c r="C109" s="120">
        <v>-13.7</v>
      </c>
      <c r="D109" s="120">
        <v>-10.4</v>
      </c>
      <c r="E109" s="120">
        <v>-18.2</v>
      </c>
      <c r="F109" s="120">
        <v>-22.9</v>
      </c>
      <c r="G109" s="120">
        <v>-11.9</v>
      </c>
      <c r="H109" s="120">
        <v>-12.1</v>
      </c>
      <c r="I109" s="120">
        <v>-12</v>
      </c>
      <c r="J109" s="120">
        <v>-12.8</v>
      </c>
      <c r="K109" s="120">
        <v>-11.5</v>
      </c>
      <c r="L109" s="120">
        <v>-3.7</v>
      </c>
      <c r="M109" s="120">
        <v>-1.4</v>
      </c>
      <c r="N109" s="120">
        <v>-11.2</v>
      </c>
      <c r="O109" s="120">
        <v>-7</v>
      </c>
      <c r="P109" s="120">
        <v>1</v>
      </c>
      <c r="Q109" s="120">
        <v>12.3</v>
      </c>
      <c r="R109" s="120">
        <v>5.9</v>
      </c>
      <c r="S109" s="120">
        <v>7.2</v>
      </c>
      <c r="T109" s="120">
        <v>12.7</v>
      </c>
      <c r="U109" s="120">
        <v>12</v>
      </c>
      <c r="V109" s="120">
        <v>3.5</v>
      </c>
      <c r="W109" s="120">
        <v>-2.2000000000000002</v>
      </c>
      <c r="X109" s="120">
        <v>-2.2000000000000002</v>
      </c>
      <c r="Y109" s="120">
        <v>2.9</v>
      </c>
      <c r="Z109" s="120">
        <v>10.6</v>
      </c>
      <c r="AA109" s="120">
        <v>5</v>
      </c>
      <c r="AB109" s="120">
        <v>-1.6</v>
      </c>
      <c r="AC109" s="120">
        <v>-22</v>
      </c>
      <c r="AD109" s="120">
        <v>-21.7</v>
      </c>
      <c r="AE109" s="120">
        <v>-34.200000000000003</v>
      </c>
      <c r="AF109" s="120">
        <v>-40.299999999999997</v>
      </c>
      <c r="AG109" s="121">
        <v>75</v>
      </c>
      <c r="AH109" s="52">
        <f t="shared" si="22"/>
        <v>12.7</v>
      </c>
      <c r="AI109" s="53">
        <f t="shared" si="23"/>
        <v>-40.299999999999997</v>
      </c>
    </row>
    <row r="110" spans="1:88" x14ac:dyDescent="0.25">
      <c r="A110" s="110" t="s">
        <v>118</v>
      </c>
      <c r="B110" s="122">
        <v>-22.2</v>
      </c>
      <c r="C110" s="122">
        <v>-19.399999999999999</v>
      </c>
      <c r="D110" s="122">
        <v>-17.2</v>
      </c>
      <c r="E110" s="122">
        <v>-28.8</v>
      </c>
      <c r="F110" s="122">
        <v>-32.5</v>
      </c>
      <c r="G110" s="122">
        <v>-18.7</v>
      </c>
      <c r="H110" s="122">
        <v>-20.2</v>
      </c>
      <c r="I110" s="122">
        <v>-19.600000000000001</v>
      </c>
      <c r="J110" s="122">
        <v>-21.9</v>
      </c>
      <c r="K110" s="122">
        <v>-20.2</v>
      </c>
      <c r="L110" s="122">
        <v>-10.199999999999999</v>
      </c>
      <c r="M110" s="122">
        <v>-9</v>
      </c>
      <c r="N110" s="122">
        <v>-20.8</v>
      </c>
      <c r="O110" s="122">
        <v>-16.2</v>
      </c>
      <c r="P110" s="122">
        <v>-2.6</v>
      </c>
      <c r="Q110" s="122">
        <v>14.9</v>
      </c>
      <c r="R110" s="122">
        <v>3</v>
      </c>
      <c r="S110" s="122">
        <v>5.6</v>
      </c>
      <c r="T110" s="122">
        <v>13.2</v>
      </c>
      <c r="U110" s="122">
        <v>12</v>
      </c>
      <c r="V110" s="122">
        <v>2.2999999999999998</v>
      </c>
      <c r="W110" s="122">
        <v>-6.3</v>
      </c>
      <c r="X110" s="122">
        <v>-6.3</v>
      </c>
      <c r="Y110" s="122">
        <v>-1.2</v>
      </c>
      <c r="Z110" s="122">
        <v>9</v>
      </c>
      <c r="AA110" s="122">
        <v>8</v>
      </c>
      <c r="AB110" s="122">
        <v>-7.6</v>
      </c>
      <c r="AC110" s="122">
        <v>34.4</v>
      </c>
      <c r="AD110" s="122">
        <v>34.799999999999997</v>
      </c>
      <c r="AE110" s="122">
        <v>-49.7</v>
      </c>
      <c r="AF110" s="122">
        <v>-57</v>
      </c>
      <c r="AG110" s="121">
        <v>240</v>
      </c>
      <c r="AH110" s="52">
        <f t="shared" si="22"/>
        <v>34.799999999999997</v>
      </c>
      <c r="AI110" s="53">
        <f t="shared" si="23"/>
        <v>-57</v>
      </c>
    </row>
    <row r="111" spans="1:88" x14ac:dyDescent="0.25">
      <c r="A111" s="110" t="s">
        <v>119</v>
      </c>
      <c r="B111" s="122">
        <v>-45.1</v>
      </c>
      <c r="C111" s="122">
        <v>-51.9</v>
      </c>
      <c r="D111" s="122">
        <v>-43.2</v>
      </c>
      <c r="E111" s="122">
        <v>-31.3</v>
      </c>
      <c r="F111" s="122">
        <v>-26.5</v>
      </c>
      <c r="G111" s="122">
        <v>-32.5</v>
      </c>
      <c r="H111" s="122">
        <v>1</v>
      </c>
      <c r="I111" s="122">
        <v>16</v>
      </c>
      <c r="J111" s="122">
        <v>32</v>
      </c>
      <c r="K111" s="122">
        <v>46</v>
      </c>
      <c r="L111" s="122">
        <v>45</v>
      </c>
      <c r="M111" s="122">
        <f>23.3+17.2</f>
        <v>40.5</v>
      </c>
      <c r="N111" s="122">
        <v>14</v>
      </c>
      <c r="O111" s="122">
        <v>1.2</v>
      </c>
      <c r="P111" s="122">
        <v>-14</v>
      </c>
      <c r="Q111" s="122">
        <f>1.2-6.6</f>
        <v>-5.3999999999999995</v>
      </c>
      <c r="R111" s="122">
        <v>-35</v>
      </c>
      <c r="S111" s="122">
        <v>-32.799999999999997</v>
      </c>
      <c r="T111" s="122">
        <f>-34.4-4.4</f>
        <v>-38.799999999999997</v>
      </c>
      <c r="U111" s="122">
        <v>-1</v>
      </c>
      <c r="V111" s="122">
        <f>-26.4+5</f>
        <v>-21.4</v>
      </c>
      <c r="W111" s="122">
        <f>-18.5+15.3</f>
        <v>-3.1999999999999993</v>
      </c>
      <c r="X111" s="122">
        <f>-18.5+15.3</f>
        <v>-3.1999999999999993</v>
      </c>
      <c r="Y111" s="122">
        <f>-13.3+18.7</f>
        <v>5.3999999999999986</v>
      </c>
      <c r="Z111" s="122">
        <v>22.1</v>
      </c>
      <c r="AA111" s="122">
        <v>64</v>
      </c>
      <c r="AB111" s="122">
        <v>27</v>
      </c>
      <c r="AC111" s="122">
        <f>13.6+8</f>
        <v>21.6</v>
      </c>
      <c r="AD111" s="122">
        <f>13.6+8</f>
        <v>21.6</v>
      </c>
      <c r="AE111" s="122">
        <v>6.2</v>
      </c>
      <c r="AF111" s="122">
        <v>-7</v>
      </c>
      <c r="AG111" s="121">
        <v>240</v>
      </c>
      <c r="AH111" s="52">
        <f t="shared" si="22"/>
        <v>64</v>
      </c>
      <c r="AI111" s="53">
        <f t="shared" si="23"/>
        <v>-51.9</v>
      </c>
    </row>
    <row r="112" spans="1:88" x14ac:dyDescent="0.25">
      <c r="A112" s="110" t="s">
        <v>120</v>
      </c>
      <c r="B112" s="122">
        <v>33.799999999999997</v>
      </c>
      <c r="C112" s="122">
        <v>34.1</v>
      </c>
      <c r="D112" s="122">
        <v>35.1</v>
      </c>
      <c r="E112" s="122">
        <v>32.9</v>
      </c>
      <c r="F112" s="122">
        <v>33.799999999999997</v>
      </c>
      <c r="G112" s="122">
        <v>36</v>
      </c>
      <c r="H112" s="122">
        <v>38.9</v>
      </c>
      <c r="I112" s="122">
        <v>30.9</v>
      </c>
      <c r="J112" s="122">
        <v>45.2</v>
      </c>
      <c r="K112" s="122">
        <v>51</v>
      </c>
      <c r="L112" s="122">
        <v>52.4</v>
      </c>
      <c r="M112" s="122">
        <v>50.6</v>
      </c>
      <c r="N112" s="122">
        <v>42.4</v>
      </c>
      <c r="O112" s="122">
        <v>49.7</v>
      </c>
      <c r="P112" s="122">
        <v>49.3</v>
      </c>
      <c r="Q112" s="122">
        <v>42</v>
      </c>
      <c r="R112" s="122">
        <v>40.9</v>
      </c>
      <c r="S112" s="122">
        <v>41</v>
      </c>
      <c r="T112" s="122">
        <v>41</v>
      </c>
      <c r="U112" s="122">
        <v>41</v>
      </c>
      <c r="V112" s="122">
        <v>42.6</v>
      </c>
      <c r="W112" s="122">
        <v>45.5</v>
      </c>
      <c r="X112" s="122">
        <v>45.5</v>
      </c>
      <c r="Y112" s="122">
        <v>48.1</v>
      </c>
      <c r="Z112" s="122">
        <v>54.3</v>
      </c>
      <c r="AA112" s="122">
        <v>42</v>
      </c>
      <c r="AB112" s="122">
        <v>43.2</v>
      </c>
      <c r="AC112" s="122">
        <v>41.4</v>
      </c>
      <c r="AD112" s="122">
        <v>41.4</v>
      </c>
      <c r="AE112" s="122">
        <v>35.200000000000003</v>
      </c>
      <c r="AF112" s="122">
        <v>35.700000000000003</v>
      </c>
      <c r="AG112" s="121">
        <v>60</v>
      </c>
      <c r="AH112" s="52">
        <f t="shared" si="22"/>
        <v>54.3</v>
      </c>
      <c r="AI112" s="53">
        <f t="shared" si="23"/>
        <v>30.9</v>
      </c>
    </row>
    <row r="113" spans="1:37" x14ac:dyDescent="0.25">
      <c r="A113" s="123" t="s">
        <v>121</v>
      </c>
      <c r="B113" s="124">
        <v>82.6</v>
      </c>
      <c r="C113" s="124">
        <v>77.900000000000006</v>
      </c>
      <c r="D113" s="124">
        <v>66.3</v>
      </c>
      <c r="E113" s="124">
        <v>75.400000000000006</v>
      </c>
      <c r="F113" s="124">
        <v>78.8</v>
      </c>
      <c r="G113" s="124">
        <v>80.400000000000006</v>
      </c>
      <c r="H113" s="124">
        <v>92.1</v>
      </c>
      <c r="I113" s="124">
        <v>102</v>
      </c>
      <c r="J113" s="124">
        <v>104</v>
      </c>
      <c r="K113" s="124">
        <v>108</v>
      </c>
      <c r="L113" s="124">
        <v>105.9</v>
      </c>
      <c r="M113" s="124">
        <v>111</v>
      </c>
      <c r="N113" s="124">
        <v>117</v>
      </c>
      <c r="O113" s="124">
        <v>107.8</v>
      </c>
      <c r="P113" s="124">
        <v>99</v>
      </c>
      <c r="Q113" s="124">
        <v>100.2</v>
      </c>
      <c r="R113" s="124">
        <v>109.4</v>
      </c>
      <c r="S113" s="124">
        <v>103</v>
      </c>
      <c r="T113" s="124">
        <v>7</v>
      </c>
      <c r="U113" s="124">
        <v>109</v>
      </c>
      <c r="V113" s="124">
        <v>107.6</v>
      </c>
      <c r="W113" s="124">
        <v>104.8</v>
      </c>
      <c r="X113" s="124">
        <v>104.8</v>
      </c>
      <c r="Y113" s="124">
        <v>120.4</v>
      </c>
      <c r="Z113" s="124">
        <v>90.1</v>
      </c>
      <c r="AA113" s="124">
        <v>90</v>
      </c>
      <c r="AB113" s="124">
        <v>109.4</v>
      </c>
      <c r="AC113" s="124">
        <v>117</v>
      </c>
      <c r="AD113" s="124">
        <v>117</v>
      </c>
      <c r="AE113" s="124">
        <v>117</v>
      </c>
      <c r="AF113" s="124">
        <v>108.6</v>
      </c>
      <c r="AG113" s="125">
        <v>120</v>
      </c>
      <c r="AH113" s="52">
        <f t="shared" si="22"/>
        <v>120.4</v>
      </c>
      <c r="AI113" s="53">
        <f t="shared" si="23"/>
        <v>7</v>
      </c>
    </row>
    <row r="114" spans="1:37" x14ac:dyDescent="0.25">
      <c r="A114" s="123" t="s">
        <v>122</v>
      </c>
      <c r="B114" s="124">
        <v>99.6</v>
      </c>
      <c r="C114" s="124">
        <v>107.3</v>
      </c>
      <c r="D114" s="124">
        <v>96.4</v>
      </c>
      <c r="E114" s="124">
        <v>100.4</v>
      </c>
      <c r="F114" s="124">
        <v>97.8</v>
      </c>
      <c r="G114" s="124">
        <v>103.8</v>
      </c>
      <c r="H114" s="124">
        <v>100</v>
      </c>
      <c r="I114" s="124">
        <v>97.2</v>
      </c>
      <c r="J114" s="124">
        <v>88.4</v>
      </c>
      <c r="K114" s="124">
        <v>87.5</v>
      </c>
      <c r="L114" s="124">
        <v>84.7</v>
      </c>
      <c r="M114" s="124">
        <v>92.3</v>
      </c>
      <c r="N114" s="124">
        <v>96</v>
      </c>
      <c r="O114" s="124">
        <v>91</v>
      </c>
      <c r="P114" s="124">
        <v>90.8</v>
      </c>
      <c r="Q114" s="124">
        <v>111.2</v>
      </c>
      <c r="R114" s="124">
        <v>106.9</v>
      </c>
      <c r="S114" s="124">
        <v>98.7</v>
      </c>
      <c r="T114" s="124">
        <v>110.3</v>
      </c>
      <c r="U114" s="124">
        <v>113</v>
      </c>
      <c r="V114" s="124">
        <v>102</v>
      </c>
      <c r="W114" s="124">
        <v>91.8</v>
      </c>
      <c r="X114" s="124">
        <v>91.8</v>
      </c>
      <c r="Y114" s="124">
        <v>101.4</v>
      </c>
      <c r="Z114" s="124">
        <v>101.7</v>
      </c>
      <c r="AA114" s="124">
        <v>108</v>
      </c>
      <c r="AB114" s="124">
        <v>85.7</v>
      </c>
      <c r="AC114" s="124">
        <v>96</v>
      </c>
      <c r="AD114" s="124">
        <v>96</v>
      </c>
      <c r="AE114" s="124">
        <v>106</v>
      </c>
      <c r="AF114" s="124">
        <v>107.9</v>
      </c>
      <c r="AG114" s="125"/>
      <c r="AH114" s="52">
        <f t="shared" si="22"/>
        <v>113</v>
      </c>
      <c r="AI114" s="53">
        <f t="shared" si="23"/>
        <v>84.7</v>
      </c>
    </row>
    <row r="115" spans="1:37" x14ac:dyDescent="0.25">
      <c r="A115" s="123" t="s">
        <v>123</v>
      </c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6"/>
      <c r="AH115" s="52">
        <f t="shared" si="22"/>
        <v>0</v>
      </c>
      <c r="AI115" s="53">
        <f t="shared" si="23"/>
        <v>0</v>
      </c>
    </row>
    <row r="116" spans="1:37" x14ac:dyDescent="0.25">
      <c r="A116" s="127" t="s">
        <v>124</v>
      </c>
      <c r="B116" s="113">
        <v>7</v>
      </c>
      <c r="C116" s="113">
        <v>16.7</v>
      </c>
      <c r="D116" s="113">
        <v>48.6</v>
      </c>
      <c r="E116" s="113">
        <v>41.8</v>
      </c>
      <c r="F116" s="113">
        <v>33.9</v>
      </c>
      <c r="G116" s="113">
        <v>27.9</v>
      </c>
      <c r="H116" s="113">
        <v>23</v>
      </c>
      <c r="I116" s="113">
        <v>15.4</v>
      </c>
      <c r="J116" s="113">
        <v>14.6</v>
      </c>
      <c r="K116" s="113">
        <v>10.6</v>
      </c>
      <c r="L116" s="113">
        <v>7.3</v>
      </c>
      <c r="M116" s="113">
        <v>4.9000000000000004</v>
      </c>
      <c r="N116" s="113">
        <v>1.9</v>
      </c>
      <c r="O116" s="113">
        <v>-6.1</v>
      </c>
      <c r="P116" s="113">
        <v>-6.9</v>
      </c>
      <c r="Q116" s="113">
        <v>-3.1</v>
      </c>
      <c r="R116" s="113">
        <v>-6.1</v>
      </c>
      <c r="S116" s="113">
        <v>-8.3000000000000007</v>
      </c>
      <c r="T116" s="113">
        <v>-2.5</v>
      </c>
      <c r="U116" s="113">
        <v>-1.4</v>
      </c>
      <c r="V116" s="113">
        <v>-5.7</v>
      </c>
      <c r="W116" s="113">
        <v>-9.4</v>
      </c>
      <c r="X116" s="113">
        <v>-9.4</v>
      </c>
      <c r="Y116" s="113">
        <v>-21.4</v>
      </c>
      <c r="Z116" s="113">
        <v>-15.4</v>
      </c>
      <c r="AA116" s="113">
        <v>-11</v>
      </c>
      <c r="AB116" s="113">
        <v>-21.3</v>
      </c>
      <c r="AC116" s="113">
        <v>-13.8</v>
      </c>
      <c r="AD116" s="113">
        <v>-13.8</v>
      </c>
      <c r="AE116" s="113">
        <v>-0.6</v>
      </c>
      <c r="AF116" s="113">
        <v>-1.2</v>
      </c>
      <c r="AG116" s="126"/>
      <c r="AH116" s="52">
        <f t="shared" si="22"/>
        <v>48.6</v>
      </c>
      <c r="AI116" s="53">
        <f t="shared" si="23"/>
        <v>-21.4</v>
      </c>
    </row>
    <row r="117" spans="1:37" ht="15.75" thickBot="1" x14ac:dyDescent="0.3">
      <c r="A117" s="127" t="s">
        <v>125</v>
      </c>
      <c r="B117" s="113">
        <v>87</v>
      </c>
      <c r="C117" s="113">
        <v>81.3</v>
      </c>
      <c r="D117" s="113">
        <v>59.3</v>
      </c>
      <c r="E117" s="113">
        <v>54.3</v>
      </c>
      <c r="F117" s="113">
        <v>64.900000000000006</v>
      </c>
      <c r="G117" s="113">
        <v>63.8</v>
      </c>
      <c r="H117" s="113">
        <v>60.9</v>
      </c>
      <c r="I117" s="113">
        <v>65.599999999999994</v>
      </c>
      <c r="J117" s="113">
        <v>79.3</v>
      </c>
      <c r="K117" s="113">
        <v>82.7</v>
      </c>
      <c r="L117" s="113">
        <v>88.4</v>
      </c>
      <c r="M117" s="113">
        <v>87.4</v>
      </c>
      <c r="N117" s="113">
        <v>94</v>
      </c>
      <c r="O117" s="113">
        <v>103.6</v>
      </c>
      <c r="P117" s="113">
        <v>103.1</v>
      </c>
      <c r="Q117" s="113">
        <v>95.1</v>
      </c>
      <c r="R117" s="113">
        <v>110.2</v>
      </c>
      <c r="S117" s="113">
        <v>109.6</v>
      </c>
      <c r="T117" s="113">
        <v>97.9</v>
      </c>
      <c r="U117" s="113">
        <v>100</v>
      </c>
      <c r="V117" s="113">
        <v>100</v>
      </c>
      <c r="W117" s="113">
        <v>80</v>
      </c>
      <c r="X117" s="113">
        <v>80</v>
      </c>
      <c r="Y117" s="113">
        <v>83</v>
      </c>
      <c r="Z117" s="113">
        <v>86</v>
      </c>
      <c r="AA117" s="113">
        <v>92</v>
      </c>
      <c r="AB117" s="113">
        <v>95</v>
      </c>
      <c r="AC117" s="113">
        <v>87.5</v>
      </c>
      <c r="AD117" s="113">
        <v>87.5</v>
      </c>
      <c r="AE117" s="113">
        <v>76.3</v>
      </c>
      <c r="AF117" s="113">
        <v>84.3</v>
      </c>
      <c r="AG117" s="126"/>
      <c r="AH117" s="52">
        <f t="shared" si="22"/>
        <v>110.2</v>
      </c>
      <c r="AI117" s="53">
        <f t="shared" si="23"/>
        <v>54.3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42">SUM(B119:B223)</f>
        <v>0</v>
      </c>
      <c r="C224" s="144">
        <f t="shared" si="42"/>
        <v>0</v>
      </c>
      <c r="D224" s="144">
        <f t="shared" si="42"/>
        <v>0</v>
      </c>
      <c r="E224" s="144">
        <f t="shared" si="42"/>
        <v>0</v>
      </c>
      <c r="F224" s="144">
        <f t="shared" si="42"/>
        <v>0</v>
      </c>
      <c r="G224" s="144">
        <f t="shared" si="42"/>
        <v>0</v>
      </c>
      <c r="H224" s="144">
        <f t="shared" si="42"/>
        <v>0</v>
      </c>
      <c r="I224" s="144">
        <f t="shared" si="42"/>
        <v>0</v>
      </c>
      <c r="J224" s="144">
        <f t="shared" si="42"/>
        <v>0</v>
      </c>
      <c r="K224" s="144">
        <f t="shared" si="42"/>
        <v>0</v>
      </c>
      <c r="L224" s="144">
        <f t="shared" si="42"/>
        <v>0</v>
      </c>
      <c r="M224" s="144">
        <f t="shared" si="42"/>
        <v>0</v>
      </c>
      <c r="N224" s="144">
        <f t="shared" si="42"/>
        <v>0</v>
      </c>
      <c r="O224" s="144">
        <f t="shared" si="42"/>
        <v>0</v>
      </c>
      <c r="P224" s="144">
        <f t="shared" si="42"/>
        <v>0</v>
      </c>
      <c r="Q224" s="144">
        <f t="shared" si="42"/>
        <v>0</v>
      </c>
      <c r="R224" s="144">
        <f t="shared" si="42"/>
        <v>0</v>
      </c>
      <c r="S224" s="144">
        <f t="shared" si="42"/>
        <v>0</v>
      </c>
      <c r="T224" s="144">
        <f t="shared" si="42"/>
        <v>0</v>
      </c>
      <c r="U224" s="144">
        <f t="shared" si="42"/>
        <v>0</v>
      </c>
      <c r="V224" s="144">
        <f t="shared" si="42"/>
        <v>0</v>
      </c>
      <c r="W224" s="144">
        <f t="shared" si="42"/>
        <v>0</v>
      </c>
      <c r="X224" s="144">
        <f t="shared" si="42"/>
        <v>0</v>
      </c>
      <c r="Y224" s="144">
        <f t="shared" si="42"/>
        <v>0</v>
      </c>
      <c r="Z224" s="144">
        <f t="shared" si="42"/>
        <v>0</v>
      </c>
      <c r="AA224" s="144">
        <f t="shared" si="42"/>
        <v>0</v>
      </c>
      <c r="AB224" s="144">
        <f t="shared" si="42"/>
        <v>0</v>
      </c>
      <c r="AC224" s="144">
        <f t="shared" si="42"/>
        <v>0</v>
      </c>
      <c r="AD224" s="144">
        <f t="shared" si="42"/>
        <v>0</v>
      </c>
      <c r="AE224" s="144">
        <f t="shared" si="42"/>
        <v>0</v>
      </c>
      <c r="AF224" s="145">
        <f t="shared" si="42"/>
        <v>0</v>
      </c>
      <c r="AG224" s="146">
        <f t="shared" si="42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43">AF226</f>
        <v>0</v>
      </c>
      <c r="C226" s="149">
        <v>0.3</v>
      </c>
      <c r="D226" s="149">
        <f t="shared" ref="D226:P231" si="44">C226</f>
        <v>0.3</v>
      </c>
      <c r="E226" s="149">
        <f t="shared" si="44"/>
        <v>0.3</v>
      </c>
      <c r="F226" s="149">
        <f t="shared" si="44"/>
        <v>0.3</v>
      </c>
      <c r="G226" s="149">
        <f t="shared" si="44"/>
        <v>0.3</v>
      </c>
      <c r="H226" s="149">
        <f t="shared" si="44"/>
        <v>0.3</v>
      </c>
      <c r="I226" s="149">
        <f t="shared" si="44"/>
        <v>0.3</v>
      </c>
      <c r="J226" s="149">
        <f t="shared" si="44"/>
        <v>0.3</v>
      </c>
      <c r="K226" s="149">
        <f t="shared" si="44"/>
        <v>0.3</v>
      </c>
      <c r="L226" s="149">
        <f t="shared" si="44"/>
        <v>0.3</v>
      </c>
      <c r="M226" s="149">
        <f t="shared" si="44"/>
        <v>0.3</v>
      </c>
      <c r="N226" s="149">
        <f t="shared" si="44"/>
        <v>0.3</v>
      </c>
      <c r="O226" s="149">
        <f t="shared" si="44"/>
        <v>0.3</v>
      </c>
      <c r="P226" s="149">
        <f t="shared" si="44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43"/>
        <v>0</v>
      </c>
      <c r="C227" s="136">
        <v>0.4</v>
      </c>
      <c r="D227" s="136">
        <f t="shared" si="44"/>
        <v>0.4</v>
      </c>
      <c r="E227" s="136">
        <f t="shared" si="44"/>
        <v>0.4</v>
      </c>
      <c r="F227" s="136">
        <f t="shared" si="44"/>
        <v>0.4</v>
      </c>
      <c r="G227" s="136">
        <f t="shared" si="44"/>
        <v>0.4</v>
      </c>
      <c r="H227" s="136">
        <f t="shared" si="44"/>
        <v>0.4</v>
      </c>
      <c r="I227" s="136">
        <f t="shared" si="44"/>
        <v>0.4</v>
      </c>
      <c r="J227" s="136">
        <f t="shared" si="44"/>
        <v>0.4</v>
      </c>
      <c r="K227" s="136">
        <f t="shared" si="44"/>
        <v>0.4</v>
      </c>
      <c r="L227" s="136">
        <f t="shared" si="44"/>
        <v>0.4</v>
      </c>
      <c r="M227" s="136">
        <f t="shared" si="44"/>
        <v>0.4</v>
      </c>
      <c r="N227" s="136">
        <f t="shared" si="44"/>
        <v>0.4</v>
      </c>
      <c r="O227" s="136">
        <f t="shared" si="44"/>
        <v>0.4</v>
      </c>
      <c r="P227" s="136">
        <f t="shared" si="44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43"/>
        <v>0</v>
      </c>
      <c r="C228" s="136">
        <v>1.5</v>
      </c>
      <c r="D228" s="136">
        <f t="shared" si="44"/>
        <v>1.5</v>
      </c>
      <c r="E228" s="136">
        <f t="shared" si="44"/>
        <v>1.5</v>
      </c>
      <c r="F228" s="136">
        <f t="shared" si="44"/>
        <v>1.5</v>
      </c>
      <c r="G228" s="136">
        <f t="shared" si="44"/>
        <v>1.5</v>
      </c>
      <c r="H228" s="136">
        <f t="shared" si="44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44"/>
        <v>1.5</v>
      </c>
      <c r="K228" s="136">
        <f t="shared" ca="1" si="44"/>
        <v>1.5</v>
      </c>
      <c r="L228" s="136">
        <f t="shared" ca="1" si="44"/>
        <v>1.5</v>
      </c>
      <c r="M228" s="136">
        <f t="shared" ca="1" si="44"/>
        <v>1.5</v>
      </c>
      <c r="N228" s="136">
        <f t="shared" ca="1" si="44"/>
        <v>1.5</v>
      </c>
      <c r="O228" s="136">
        <f t="shared" ca="1" si="44"/>
        <v>1.5</v>
      </c>
      <c r="P228" s="136">
        <f t="shared" ca="1" si="44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43"/>
        <v>0</v>
      </c>
      <c r="C229" s="136">
        <v>0.3</v>
      </c>
      <c r="D229" s="136">
        <f t="shared" si="44"/>
        <v>0.3</v>
      </c>
      <c r="E229" s="136">
        <f t="shared" si="44"/>
        <v>0.3</v>
      </c>
      <c r="F229" s="136">
        <f t="shared" si="44"/>
        <v>0.3</v>
      </c>
      <c r="G229" s="136">
        <f t="shared" si="44"/>
        <v>0.3</v>
      </c>
      <c r="H229" s="136">
        <f t="shared" si="44"/>
        <v>0.3</v>
      </c>
      <c r="I229" s="136">
        <f t="shared" si="44"/>
        <v>0.3</v>
      </c>
      <c r="J229" s="136">
        <f t="shared" si="44"/>
        <v>0.3</v>
      </c>
      <c r="K229" s="136">
        <f t="shared" si="44"/>
        <v>0.3</v>
      </c>
      <c r="L229" s="136">
        <f t="shared" si="44"/>
        <v>0.3</v>
      </c>
      <c r="M229" s="136">
        <f t="shared" si="44"/>
        <v>0.3</v>
      </c>
      <c r="N229" s="136">
        <f t="shared" si="44"/>
        <v>0.3</v>
      </c>
      <c r="O229" s="136">
        <f t="shared" si="44"/>
        <v>0.3</v>
      </c>
      <c r="P229" s="136">
        <f t="shared" si="44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43"/>
        <v>0</v>
      </c>
      <c r="C230" s="136">
        <v>0.4</v>
      </c>
      <c r="D230" s="136">
        <f t="shared" si="44"/>
        <v>0.4</v>
      </c>
      <c r="E230" s="136">
        <f t="shared" si="44"/>
        <v>0.4</v>
      </c>
      <c r="F230" s="136">
        <f t="shared" si="44"/>
        <v>0.4</v>
      </c>
      <c r="G230" s="136">
        <f t="shared" si="44"/>
        <v>0.4</v>
      </c>
      <c r="H230" s="136">
        <f t="shared" si="44"/>
        <v>0.4</v>
      </c>
      <c r="I230" s="136">
        <f t="shared" si="44"/>
        <v>0.4</v>
      </c>
      <c r="J230" s="136">
        <f t="shared" si="44"/>
        <v>0.4</v>
      </c>
      <c r="K230" s="136">
        <f t="shared" si="44"/>
        <v>0.4</v>
      </c>
      <c r="L230" s="136">
        <f t="shared" si="44"/>
        <v>0.4</v>
      </c>
      <c r="M230" s="136">
        <f t="shared" si="44"/>
        <v>0.4</v>
      </c>
      <c r="N230" s="136">
        <f t="shared" si="44"/>
        <v>0.4</v>
      </c>
      <c r="O230" s="136">
        <f t="shared" si="44"/>
        <v>0.4</v>
      </c>
      <c r="P230" s="136">
        <f t="shared" si="44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43"/>
        <v>0</v>
      </c>
      <c r="C231" s="140">
        <v>0.64</v>
      </c>
      <c r="D231" s="140">
        <f t="shared" si="44"/>
        <v>0.64</v>
      </c>
      <c r="E231" s="140">
        <f t="shared" si="44"/>
        <v>0.64</v>
      </c>
      <c r="F231" s="140">
        <f t="shared" si="44"/>
        <v>0.64</v>
      </c>
      <c r="G231" s="140">
        <f t="shared" si="44"/>
        <v>0.64</v>
      </c>
      <c r="H231" s="140">
        <f t="shared" si="44"/>
        <v>0.64</v>
      </c>
      <c r="I231" s="140">
        <f t="shared" si="44"/>
        <v>0.64</v>
      </c>
      <c r="J231" s="140">
        <f t="shared" si="44"/>
        <v>0.64</v>
      </c>
      <c r="K231" s="140">
        <f t="shared" si="44"/>
        <v>0.64</v>
      </c>
      <c r="L231" s="140">
        <f t="shared" si="44"/>
        <v>0.64</v>
      </c>
      <c r="M231" s="140">
        <f t="shared" si="44"/>
        <v>0.64</v>
      </c>
      <c r="N231" s="140">
        <f t="shared" si="44"/>
        <v>0.64</v>
      </c>
      <c r="O231" s="140">
        <f t="shared" si="44"/>
        <v>0.64</v>
      </c>
      <c r="P231" s="140">
        <f t="shared" si="44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45">SUM(B226:B231)</f>
        <v>0</v>
      </c>
      <c r="C232" s="144">
        <f t="shared" si="45"/>
        <v>3.54</v>
      </c>
      <c r="D232" s="144">
        <f t="shared" si="45"/>
        <v>3.54</v>
      </c>
      <c r="E232" s="144">
        <f t="shared" si="45"/>
        <v>3.54</v>
      </c>
      <c r="F232" s="144">
        <f t="shared" si="45"/>
        <v>3.54</v>
      </c>
      <c r="G232" s="144">
        <f t="shared" si="45"/>
        <v>3.54</v>
      </c>
      <c r="H232" s="144">
        <f t="shared" si="45"/>
        <v>3.54</v>
      </c>
      <c r="I232" s="144">
        <f t="shared" ca="1" si="45"/>
        <v>3.54</v>
      </c>
      <c r="J232" s="144">
        <f t="shared" ca="1" si="45"/>
        <v>3.54</v>
      </c>
      <c r="K232" s="144">
        <f t="shared" ca="1" si="45"/>
        <v>3.54</v>
      </c>
      <c r="L232" s="144">
        <f t="shared" ca="1" si="45"/>
        <v>3.54</v>
      </c>
      <c r="M232" s="144">
        <f t="shared" ca="1" si="45"/>
        <v>3.54</v>
      </c>
      <c r="N232" s="144">
        <f t="shared" ca="1" si="45"/>
        <v>3.54</v>
      </c>
      <c r="O232" s="144">
        <f t="shared" ca="1" si="45"/>
        <v>3.54</v>
      </c>
      <c r="P232" s="144">
        <f t="shared" ca="1" si="45"/>
        <v>3.54</v>
      </c>
      <c r="Q232" s="144">
        <f t="shared" si="45"/>
        <v>0</v>
      </c>
      <c r="R232" s="144">
        <f t="shared" si="45"/>
        <v>0</v>
      </c>
      <c r="S232" s="144">
        <f t="shared" si="45"/>
        <v>0</v>
      </c>
      <c r="T232" s="144">
        <f t="shared" si="45"/>
        <v>0</v>
      </c>
      <c r="U232" s="144">
        <f t="shared" si="45"/>
        <v>0</v>
      </c>
      <c r="V232" s="144">
        <f t="shared" si="45"/>
        <v>0</v>
      </c>
      <c r="W232" s="144">
        <f t="shared" si="45"/>
        <v>0</v>
      </c>
      <c r="X232" s="144">
        <f t="shared" si="45"/>
        <v>0</v>
      </c>
      <c r="Y232" s="144">
        <f t="shared" si="45"/>
        <v>0</v>
      </c>
      <c r="Z232" s="144">
        <f t="shared" si="45"/>
        <v>0</v>
      </c>
      <c r="AA232" s="144">
        <f t="shared" si="45"/>
        <v>0</v>
      </c>
      <c r="AB232" s="144">
        <f t="shared" si="45"/>
        <v>0</v>
      </c>
      <c r="AC232" s="144">
        <f t="shared" si="45"/>
        <v>0</v>
      </c>
      <c r="AD232" s="144">
        <f t="shared" si="45"/>
        <v>0</v>
      </c>
      <c r="AE232" s="144">
        <f t="shared" si="45"/>
        <v>0</v>
      </c>
      <c r="AF232" s="144">
        <f t="shared" si="45"/>
        <v>0</v>
      </c>
      <c r="AG232" s="154">
        <f t="shared" si="45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1464.84</v>
      </c>
      <c r="C241" s="170">
        <f>INDEX(G9:N9,1,MATCH(MAX(G89:N89),G89:N89,0))</f>
        <v>0.375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10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2079/12/10)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2079/12/10)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46">B89</f>
        <v>1316.34</v>
      </c>
      <c r="U246" s="180">
        <f t="shared" si="46"/>
        <v>1313.34</v>
      </c>
      <c r="V246" s="180">
        <f t="shared" si="46"/>
        <v>1237.54</v>
      </c>
      <c r="W246" s="180">
        <f t="shared" si="46"/>
        <v>1192.7399999999998</v>
      </c>
      <c r="X246" s="180">
        <f t="shared" si="46"/>
        <v>1222.24</v>
      </c>
      <c r="Y246" s="180">
        <f t="shared" si="46"/>
        <v>1272.04</v>
      </c>
      <c r="Z246" s="180">
        <f t="shared" si="46"/>
        <v>1263.44</v>
      </c>
      <c r="AA246" s="180">
        <f t="shared" si="46"/>
        <v>1226.1399999999999</v>
      </c>
      <c r="AB246" s="180">
        <f t="shared" si="46"/>
        <v>1377.08</v>
      </c>
      <c r="AC246" s="180">
        <f t="shared" si="46"/>
        <v>1410.7399999999998</v>
      </c>
      <c r="AD246" s="180">
        <f t="shared" si="46"/>
        <v>1446.7799999999997</v>
      </c>
      <c r="AE246" s="180">
        <f t="shared" si="46"/>
        <v>1453.9399999999998</v>
      </c>
      <c r="AF246" s="180">
        <f t="shared" si="46"/>
        <v>1464.84</v>
      </c>
      <c r="AG246" s="180">
        <f t="shared" si="46"/>
        <v>1505.54</v>
      </c>
      <c r="AH246" s="180">
        <f t="shared" si="46"/>
        <v>1515.34</v>
      </c>
      <c r="AI246" s="180">
        <f t="shared" si="46"/>
        <v>1464.04</v>
      </c>
      <c r="AJ246" s="180">
        <f t="shared" si="46"/>
        <v>1487.8400000000001</v>
      </c>
      <c r="AK246" s="180">
        <f t="shared" si="46"/>
        <v>1494.6399999999999</v>
      </c>
      <c r="AL246" s="180">
        <f t="shared" si="46"/>
        <v>1516.3400000000001</v>
      </c>
      <c r="AM246" s="180">
        <f t="shared" si="46"/>
        <v>1497.3400000000001</v>
      </c>
      <c r="AN246" s="180">
        <f t="shared" si="46"/>
        <v>1444.44</v>
      </c>
      <c r="AO246" s="180">
        <f t="shared" si="46"/>
        <v>1485.44</v>
      </c>
      <c r="AP246" s="180">
        <f t="shared" si="46"/>
        <v>1492.34</v>
      </c>
      <c r="AQ246" s="180">
        <f t="shared" si="46"/>
        <v>1557.34</v>
      </c>
      <c r="AR246" s="180">
        <f t="shared" si="46"/>
        <v>1565.7399999999998</v>
      </c>
      <c r="AS246" s="180">
        <f t="shared" si="46"/>
        <v>1559.64</v>
      </c>
      <c r="AT246" s="180">
        <f t="shared" si="46"/>
        <v>1420.1399999999999</v>
      </c>
      <c r="AU246" s="180">
        <f t="shared" si="46"/>
        <v>1397.1399999999999</v>
      </c>
      <c r="AV246" s="180">
        <f t="shared" si="46"/>
        <v>1245.1399999999999</v>
      </c>
      <c r="AW246" s="180">
        <f t="shared" si="46"/>
        <v>1215.6399999999999</v>
      </c>
      <c r="AX246" s="180">
        <f t="shared" si="46"/>
        <v>1238.44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47">C231</f>
        <v>0.64</v>
      </c>
      <c r="C267" s="183">
        <f t="shared" si="47"/>
        <v>0.64</v>
      </c>
      <c r="D267" s="183">
        <f t="shared" si="47"/>
        <v>0.64</v>
      </c>
      <c r="E267" s="183">
        <f t="shared" si="47"/>
        <v>0.64</v>
      </c>
      <c r="F267" s="183">
        <f t="shared" si="47"/>
        <v>0.64</v>
      </c>
      <c r="G267" s="183">
        <f t="shared" si="47"/>
        <v>0.64</v>
      </c>
      <c r="H267" s="183">
        <f t="shared" si="47"/>
        <v>0.64</v>
      </c>
      <c r="I267" s="183">
        <f t="shared" si="47"/>
        <v>0.64</v>
      </c>
      <c r="J267" s="183">
        <f t="shared" si="47"/>
        <v>0.64</v>
      </c>
      <c r="K267" s="183">
        <f t="shared" si="47"/>
        <v>0.64</v>
      </c>
      <c r="L267" s="183">
        <f t="shared" si="47"/>
        <v>0.64</v>
      </c>
      <c r="M267" s="183">
        <f t="shared" si="47"/>
        <v>0.64</v>
      </c>
      <c r="N267" s="183">
        <f t="shared" si="47"/>
        <v>0.64</v>
      </c>
      <c r="O267" s="183">
        <f t="shared" si="47"/>
        <v>0.64</v>
      </c>
      <c r="P267" s="183">
        <f t="shared" si="47"/>
        <v>0</v>
      </c>
      <c r="Q267" s="183">
        <f t="shared" si="47"/>
        <v>0</v>
      </c>
      <c r="R267" s="183">
        <f t="shared" si="47"/>
        <v>0</v>
      </c>
      <c r="S267" s="183">
        <f t="shared" si="47"/>
        <v>0</v>
      </c>
      <c r="T267" s="183">
        <f t="shared" si="47"/>
        <v>0</v>
      </c>
      <c r="U267" s="183">
        <f t="shared" si="47"/>
        <v>0</v>
      </c>
      <c r="V267" s="183">
        <f t="shared" si="47"/>
        <v>0</v>
      </c>
      <c r="W267" s="183">
        <f t="shared" si="47"/>
        <v>0</v>
      </c>
      <c r="X267" s="183">
        <f t="shared" si="47"/>
        <v>0</v>
      </c>
      <c r="Y267" s="183">
        <f t="shared" si="47"/>
        <v>0</v>
      </c>
      <c r="Z267" s="183">
        <f t="shared" si="47"/>
        <v>0</v>
      </c>
      <c r="AA267" s="183">
        <f t="shared" si="47"/>
        <v>0</v>
      </c>
      <c r="AB267" s="183">
        <f t="shared" si="47"/>
        <v>0</v>
      </c>
      <c r="AC267" s="183">
        <f t="shared" si="47"/>
        <v>0</v>
      </c>
      <c r="AD267" s="183">
        <f t="shared" si="47"/>
        <v>0</v>
      </c>
      <c r="AE267" s="183">
        <f t="shared" si="47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48">IF(B235&lt;100,"",B235-520)</f>
        <v/>
      </c>
      <c r="C268" s="184" t="str">
        <f t="shared" si="48"/>
        <v/>
      </c>
      <c r="D268" s="184" t="str">
        <f t="shared" si="48"/>
        <v/>
      </c>
      <c r="E268" s="184" t="str">
        <f t="shared" si="48"/>
        <v/>
      </c>
      <c r="F268" s="184" t="str">
        <f t="shared" si="48"/>
        <v/>
      </c>
      <c r="G268" s="184" t="str">
        <f t="shared" si="48"/>
        <v/>
      </c>
      <c r="H268" s="184" t="str">
        <f t="shared" si="48"/>
        <v/>
      </c>
      <c r="I268" s="184" t="str">
        <f t="shared" si="48"/>
        <v/>
      </c>
      <c r="J268" s="184" t="str">
        <f t="shared" si="48"/>
        <v/>
      </c>
      <c r="K268" s="184" t="str">
        <f t="shared" si="48"/>
        <v/>
      </c>
      <c r="L268" s="184" t="str">
        <f t="shared" si="48"/>
        <v/>
      </c>
      <c r="M268" s="184" t="str">
        <f t="shared" si="48"/>
        <v/>
      </c>
      <c r="N268" s="184" t="str">
        <f t="shared" si="48"/>
        <v/>
      </c>
      <c r="O268" s="184" t="str">
        <f t="shared" si="48"/>
        <v/>
      </c>
      <c r="P268" s="184" t="str">
        <f t="shared" si="48"/>
        <v/>
      </c>
      <c r="Q268" s="184" t="str">
        <f t="shared" si="48"/>
        <v/>
      </c>
      <c r="R268" s="184" t="str">
        <f t="shared" si="48"/>
        <v/>
      </c>
      <c r="S268" s="184" t="str">
        <f t="shared" si="48"/>
        <v/>
      </c>
      <c r="T268" s="184" t="str">
        <f t="shared" si="48"/>
        <v/>
      </c>
      <c r="U268" s="184" t="str">
        <f t="shared" si="48"/>
        <v/>
      </c>
      <c r="V268" s="184" t="str">
        <f t="shared" si="48"/>
        <v/>
      </c>
      <c r="W268" s="184" t="str">
        <f t="shared" si="48"/>
        <v/>
      </c>
      <c r="X268" s="184" t="str">
        <f t="shared" si="48"/>
        <v/>
      </c>
      <c r="Y268" s="184" t="str">
        <f t="shared" si="48"/>
        <v/>
      </c>
      <c r="Z268" s="184" t="str">
        <f t="shared" si="48"/>
        <v/>
      </c>
      <c r="AA268" s="184" t="str">
        <f t="shared" si="48"/>
        <v/>
      </c>
      <c r="AB268" s="184" t="str">
        <f t="shared" si="48"/>
        <v/>
      </c>
      <c r="AC268" s="184" t="str">
        <f t="shared" si="48"/>
        <v/>
      </c>
      <c r="AD268" s="184" t="str">
        <f t="shared" si="48"/>
        <v/>
      </c>
      <c r="AE268" s="184" t="str">
        <f t="shared" si="48"/>
        <v/>
      </c>
      <c r="AF268" s="184" t="str">
        <f t="shared" si="48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49">IF(B236&lt;100,"",B236-620)</f>
        <v/>
      </c>
      <c r="C269" s="184" t="str">
        <f t="shared" si="49"/>
        <v/>
      </c>
      <c r="D269" s="184" t="str">
        <f t="shared" si="49"/>
        <v/>
      </c>
      <c r="E269" s="184" t="str">
        <f t="shared" si="49"/>
        <v/>
      </c>
      <c r="F269" s="184" t="str">
        <f t="shared" si="49"/>
        <v/>
      </c>
      <c r="G269" s="184" t="str">
        <f t="shared" si="49"/>
        <v/>
      </c>
      <c r="H269" s="184" t="str">
        <f t="shared" si="49"/>
        <v/>
      </c>
      <c r="I269" s="184" t="str">
        <f t="shared" si="49"/>
        <v/>
      </c>
      <c r="J269" s="184" t="str">
        <f t="shared" si="49"/>
        <v/>
      </c>
      <c r="K269" s="184" t="str">
        <f t="shared" si="49"/>
        <v/>
      </c>
      <c r="L269" s="184" t="str">
        <f t="shared" si="49"/>
        <v/>
      </c>
      <c r="M269" s="184" t="str">
        <f t="shared" si="49"/>
        <v/>
      </c>
      <c r="N269" s="184" t="str">
        <f t="shared" si="49"/>
        <v/>
      </c>
      <c r="O269" s="184" t="str">
        <f t="shared" si="49"/>
        <v/>
      </c>
      <c r="P269" s="184" t="str">
        <f t="shared" si="49"/>
        <v/>
      </c>
      <c r="Q269" s="184" t="str">
        <f t="shared" si="49"/>
        <v/>
      </c>
      <c r="R269" s="184" t="str">
        <f t="shared" si="49"/>
        <v/>
      </c>
      <c r="S269" s="184" t="str">
        <f t="shared" si="49"/>
        <v/>
      </c>
      <c r="T269" s="184" t="str">
        <f t="shared" si="49"/>
        <v/>
      </c>
      <c r="U269" s="184" t="str">
        <f t="shared" si="49"/>
        <v/>
      </c>
      <c r="V269" s="184" t="str">
        <f t="shared" si="49"/>
        <v/>
      </c>
      <c r="W269" s="184" t="str">
        <f t="shared" si="49"/>
        <v/>
      </c>
      <c r="X269" s="184" t="str">
        <f t="shared" si="49"/>
        <v/>
      </c>
      <c r="Y269" s="184" t="str">
        <f t="shared" si="49"/>
        <v/>
      </c>
      <c r="Z269" s="184" t="str">
        <f t="shared" si="49"/>
        <v/>
      </c>
      <c r="AA269" s="184" t="str">
        <f t="shared" si="49"/>
        <v/>
      </c>
      <c r="AB269" s="184" t="str">
        <f t="shared" si="49"/>
        <v/>
      </c>
      <c r="AC269" s="184" t="str">
        <f t="shared" si="49"/>
        <v/>
      </c>
      <c r="AD269" s="184" t="str">
        <f t="shared" si="49"/>
        <v/>
      </c>
      <c r="AE269" s="184" t="str">
        <f t="shared" si="49"/>
        <v/>
      </c>
      <c r="AF269" s="184" t="str">
        <f t="shared" si="49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50">IF(B237&lt;100,"",B237-330)</f>
        <v/>
      </c>
      <c r="C270" s="184" t="str">
        <f t="shared" si="50"/>
        <v/>
      </c>
      <c r="D270" s="184" t="str">
        <f t="shared" si="50"/>
        <v/>
      </c>
      <c r="E270" s="184" t="str">
        <f t="shared" si="50"/>
        <v/>
      </c>
      <c r="F270" s="184" t="str">
        <f t="shared" si="50"/>
        <v/>
      </c>
      <c r="G270" s="184" t="str">
        <f t="shared" si="50"/>
        <v/>
      </c>
      <c r="H270" s="184" t="str">
        <f t="shared" si="50"/>
        <v/>
      </c>
      <c r="I270" s="184" t="str">
        <f t="shared" si="50"/>
        <v/>
      </c>
      <c r="J270" s="184" t="str">
        <f t="shared" si="50"/>
        <v/>
      </c>
      <c r="K270" s="184" t="str">
        <f t="shared" si="50"/>
        <v/>
      </c>
      <c r="L270" s="184" t="str">
        <f t="shared" si="50"/>
        <v/>
      </c>
      <c r="M270" s="184" t="str">
        <f t="shared" si="50"/>
        <v/>
      </c>
      <c r="N270" s="184" t="str">
        <f t="shared" si="50"/>
        <v/>
      </c>
      <c r="O270" s="184" t="str">
        <f t="shared" si="50"/>
        <v/>
      </c>
      <c r="P270" s="184" t="str">
        <f t="shared" si="50"/>
        <v/>
      </c>
      <c r="Q270" s="184" t="str">
        <f t="shared" si="50"/>
        <v/>
      </c>
      <c r="R270" s="184" t="str">
        <f t="shared" si="50"/>
        <v/>
      </c>
      <c r="S270" s="184" t="str">
        <f t="shared" si="50"/>
        <v/>
      </c>
      <c r="T270" s="184" t="str">
        <f t="shared" si="50"/>
        <v/>
      </c>
      <c r="U270" s="184" t="str">
        <f t="shared" si="50"/>
        <v/>
      </c>
      <c r="V270" s="184" t="str">
        <f t="shared" si="50"/>
        <v/>
      </c>
      <c r="W270" s="184" t="str">
        <f t="shared" si="50"/>
        <v/>
      </c>
      <c r="X270" s="184" t="str">
        <f t="shared" si="50"/>
        <v/>
      </c>
      <c r="Y270" s="184" t="str">
        <f t="shared" si="50"/>
        <v/>
      </c>
      <c r="Z270" s="184" t="str">
        <f t="shared" si="50"/>
        <v/>
      </c>
      <c r="AA270" s="184" t="str">
        <f t="shared" si="50"/>
        <v/>
      </c>
      <c r="AB270" s="184" t="str">
        <f t="shared" si="50"/>
        <v/>
      </c>
      <c r="AC270" s="184" t="str">
        <f t="shared" si="50"/>
        <v/>
      </c>
      <c r="AD270" s="184" t="str">
        <f t="shared" si="50"/>
        <v/>
      </c>
      <c r="AE270" s="184" t="str">
        <f t="shared" si="50"/>
        <v/>
      </c>
      <c r="AF270" s="184" t="str">
        <f t="shared" si="50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51">IF(B238&lt;100,"",B238-1500)</f>
        <v/>
      </c>
      <c r="C271" s="184" t="str">
        <f t="shared" si="51"/>
        <v/>
      </c>
      <c r="D271" s="184" t="str">
        <f t="shared" si="51"/>
        <v/>
      </c>
      <c r="E271" s="184" t="str">
        <f t="shared" si="51"/>
        <v/>
      </c>
      <c r="F271" s="184" t="str">
        <f t="shared" si="51"/>
        <v/>
      </c>
      <c r="G271" s="184" t="str">
        <f t="shared" si="51"/>
        <v/>
      </c>
      <c r="H271" s="184" t="str">
        <f t="shared" si="51"/>
        <v/>
      </c>
      <c r="I271" s="184" t="str">
        <f t="shared" si="51"/>
        <v/>
      </c>
      <c r="J271" s="184" t="str">
        <f t="shared" si="51"/>
        <v/>
      </c>
      <c r="K271" s="184" t="str">
        <f t="shared" si="51"/>
        <v/>
      </c>
      <c r="L271" s="184" t="str">
        <f t="shared" si="51"/>
        <v/>
      </c>
      <c r="M271" s="184" t="str">
        <f t="shared" si="51"/>
        <v/>
      </c>
      <c r="N271" s="184" t="str">
        <f t="shared" si="51"/>
        <v/>
      </c>
      <c r="O271" s="184" t="str">
        <f t="shared" si="51"/>
        <v/>
      </c>
      <c r="P271" s="184" t="str">
        <f t="shared" si="51"/>
        <v/>
      </c>
      <c r="Q271" s="184" t="str">
        <f t="shared" si="51"/>
        <v/>
      </c>
      <c r="R271" s="184" t="str">
        <f t="shared" si="51"/>
        <v/>
      </c>
      <c r="S271" s="184" t="str">
        <f t="shared" si="51"/>
        <v/>
      </c>
      <c r="T271" s="184" t="str">
        <f t="shared" si="51"/>
        <v/>
      </c>
      <c r="U271" s="184" t="str">
        <f t="shared" si="51"/>
        <v/>
      </c>
      <c r="V271" s="184" t="str">
        <f t="shared" si="51"/>
        <v/>
      </c>
      <c r="W271" s="184" t="str">
        <f t="shared" si="51"/>
        <v/>
      </c>
      <c r="X271" s="184" t="str">
        <f t="shared" si="51"/>
        <v/>
      </c>
      <c r="Y271" s="184" t="str">
        <f t="shared" si="51"/>
        <v/>
      </c>
      <c r="Z271" s="184" t="str">
        <f t="shared" si="51"/>
        <v/>
      </c>
      <c r="AA271" s="184" t="str">
        <f t="shared" si="51"/>
        <v/>
      </c>
      <c r="AB271" s="184" t="str">
        <f t="shared" si="51"/>
        <v/>
      </c>
      <c r="AC271" s="184" t="str">
        <f t="shared" si="51"/>
        <v/>
      </c>
      <c r="AD271" s="184" t="str">
        <f t="shared" si="51"/>
        <v/>
      </c>
      <c r="AE271" s="184" t="str">
        <f t="shared" si="51"/>
        <v/>
      </c>
      <c r="AF271" s="184" t="str">
        <f t="shared" si="51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6547" priority="339">
      <formula>B$9&gt;=20/24</formula>
    </cfRule>
    <cfRule type="expression" dxfId="6546" priority="340">
      <formula>AND(B$9&gt;=14/24,B$9&lt;20/24)</formula>
    </cfRule>
    <cfRule type="expression" dxfId="6545" priority="341">
      <formula>AND(B$9&gt;=8/24,B$9&lt;14/24)</formula>
    </cfRule>
    <cfRule type="expression" dxfId="6544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6543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6542" priority="336">
      <formula>$AH12=0</formula>
    </cfRule>
  </conditionalFormatting>
  <conditionalFormatting sqref="A114">
    <cfRule type="expression" dxfId="6541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6540" priority="333">
      <formula>$AH45=0</formula>
    </cfRule>
  </conditionalFormatting>
  <conditionalFormatting sqref="A98">
    <cfRule type="expression" dxfId="6539" priority="332">
      <formula>$AH98=0</formula>
    </cfRule>
  </conditionalFormatting>
  <conditionalFormatting sqref="A18">
    <cfRule type="expression" dxfId="6538" priority="331">
      <formula>$AH18=0</formula>
    </cfRule>
  </conditionalFormatting>
  <conditionalFormatting sqref="A196:A201">
    <cfRule type="expression" dxfId="6537" priority="330">
      <formula>$AH196=0</formula>
    </cfRule>
  </conditionalFormatting>
  <conditionalFormatting sqref="A190:A195">
    <cfRule type="expression" dxfId="6536" priority="329">
      <formula>$AH190=0</formula>
    </cfRule>
  </conditionalFormatting>
  <conditionalFormatting sqref="A58">
    <cfRule type="expression" dxfId="6535" priority="328">
      <formula>$AH58=0</formula>
    </cfRule>
  </conditionalFormatting>
  <conditionalFormatting sqref="A94">
    <cfRule type="expression" dxfId="6534" priority="327">
      <formula>$AH94=0</formula>
    </cfRule>
  </conditionalFormatting>
  <conditionalFormatting sqref="E99:X99 AE99:AF99">
    <cfRule type="expression" dxfId="6533" priority="323">
      <formula>E$9&gt;=20/24</formula>
    </cfRule>
    <cfRule type="expression" dxfId="6532" priority="324">
      <formula>AND(E$9&gt;=14/24,E$9&lt;20/24)</formula>
    </cfRule>
    <cfRule type="expression" dxfId="6531" priority="325">
      <formula>AND(E$9&gt;=8/24,E$9&lt;14/24)</formula>
    </cfRule>
    <cfRule type="expression" dxfId="6530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529" priority="345">
      <formula>C$9&gt;=20/24</formula>
    </cfRule>
    <cfRule type="expression" dxfId="6528" priority="346">
      <formula>AND(C$9&gt;=14/24,C$9&lt;20/24)</formula>
    </cfRule>
    <cfRule type="expression" dxfId="6527" priority="347">
      <formula>AND(C$9&gt;=8/24,C$9&lt;14/24)</formula>
    </cfRule>
    <cfRule type="expression" dxfId="6526" priority="348">
      <formula>C$9&lt;8/24</formula>
    </cfRule>
  </conditionalFormatting>
  <conditionalFormatting sqref="A233">
    <cfRule type="expression" dxfId="6525" priority="349">
      <formula>$AH233=0</formula>
    </cfRule>
  </conditionalFormatting>
  <conditionalFormatting sqref="AG245">
    <cfRule type="expression" dxfId="6524" priority="350">
      <formula>B$9&gt;=20/24</formula>
    </cfRule>
    <cfRule type="expression" dxfId="6523" priority="351">
      <formula>AND(B$9&gt;=14/24,B$9&lt;20/24)</formula>
    </cfRule>
    <cfRule type="expression" dxfId="6522" priority="352">
      <formula>AND(B$9&gt;=8/24,B$9&lt;14/24)</formula>
    </cfRule>
    <cfRule type="expression" dxfId="6521" priority="353">
      <formula>B$9&lt;8/24</formula>
    </cfRule>
  </conditionalFormatting>
  <conditionalFormatting sqref="S8">
    <cfRule type="expression" dxfId="6520" priority="318">
      <formula>U$9&gt;=20/24</formula>
    </cfRule>
    <cfRule type="expression" dxfId="6519" priority="319">
      <formula>AND(U$9&gt;=14/24,U$9&lt;20/24)</formula>
    </cfRule>
    <cfRule type="expression" dxfId="6518" priority="320">
      <formula>AND(U$9&gt;=8/24,U$9&lt;14/24)</formula>
    </cfRule>
    <cfRule type="expression" dxfId="6517" priority="321">
      <formula>U$9&lt;8/24</formula>
    </cfRule>
  </conditionalFormatting>
  <conditionalFormatting sqref="AB8">
    <cfRule type="expression" dxfId="6516" priority="314">
      <formula>AD$9&gt;=20/24</formula>
    </cfRule>
    <cfRule type="expression" dxfId="6515" priority="315">
      <formula>AND(AD$9&gt;=14/24,AD$9&lt;20/24)</formula>
    </cfRule>
    <cfRule type="expression" dxfId="6514" priority="316">
      <formula>AND(AD$9&gt;=8/24,AD$9&lt;14/24)</formula>
    </cfRule>
    <cfRule type="expression" dxfId="6513" priority="317">
      <formula>AD$9&lt;8/24</formula>
    </cfRule>
  </conditionalFormatting>
  <conditionalFormatting sqref="AH245:AX245">
    <cfRule type="expression" dxfId="6512" priority="354">
      <formula>AG$9&gt;=20/24</formula>
    </cfRule>
    <cfRule type="expression" dxfId="6511" priority="355">
      <formula>AND(AG$9&gt;=14/24,AG$9&lt;20/24)</formula>
    </cfRule>
    <cfRule type="expression" dxfId="6510" priority="356">
      <formula>AND(AG$9&gt;=8/24,AG$9&lt;14/24)</formula>
    </cfRule>
    <cfRule type="expression" dxfId="6509" priority="357">
      <formula>AG$9&lt;8/24</formula>
    </cfRule>
  </conditionalFormatting>
  <conditionalFormatting sqref="T245">
    <cfRule type="expression" dxfId="6508" priority="358">
      <formula>AX$9&gt;=20/24</formula>
    </cfRule>
    <cfRule type="expression" dxfId="6507" priority="359">
      <formula>AND(AX$9&gt;=14/24,AX$9&lt;20/24)</formula>
    </cfRule>
    <cfRule type="expression" dxfId="6506" priority="360">
      <formula>AND(AX$9&gt;=8/24,AX$9&lt;14/24)</formula>
    </cfRule>
    <cfRule type="expression" dxfId="6505" priority="361">
      <formula>AX$9&lt;8/24</formula>
    </cfRule>
  </conditionalFormatting>
  <conditionalFormatting sqref="A115:A116">
    <cfRule type="expression" dxfId="6504" priority="313">
      <formula>$AH115=0</formula>
    </cfRule>
  </conditionalFormatting>
  <conditionalFormatting sqref="M54:Y58 F71:AF71">
    <cfRule type="expression" dxfId="6503" priority="309">
      <formula>F$9&gt;=20/24</formula>
    </cfRule>
    <cfRule type="expression" dxfId="6502" priority="310">
      <formula>AND(F$9&gt;=14/24,F$9&lt;20/24)</formula>
    </cfRule>
    <cfRule type="expression" dxfId="6501" priority="311">
      <formula>AND(F$9&gt;=8/24,F$9&lt;14/24)</formula>
    </cfRule>
    <cfRule type="expression" dxfId="6500" priority="312">
      <formula>F$9&lt;8/24</formula>
    </cfRule>
  </conditionalFormatting>
  <conditionalFormatting sqref="M53:Y53">
    <cfRule type="expression" dxfId="6499" priority="305">
      <formula>M$9&gt;=20/24</formula>
    </cfRule>
    <cfRule type="expression" dxfId="6498" priority="306">
      <formula>AND(M$9&gt;=14/24,M$9&lt;20/24)</formula>
    </cfRule>
    <cfRule type="expression" dxfId="6497" priority="307">
      <formula>AND(M$9&gt;=8/24,M$9&lt;14/24)</formula>
    </cfRule>
    <cfRule type="expression" dxfId="6496" priority="308">
      <formula>M$9&lt;8/24</formula>
    </cfRule>
  </conditionalFormatting>
  <conditionalFormatting sqref="M53:Y58">
    <cfRule type="expression" dxfId="6495" priority="304">
      <formula>M53&gt;$AG53</formula>
    </cfRule>
  </conditionalFormatting>
  <conditionalFormatting sqref="M100:X106 F72:Y73 Y96:AF96 AE100:AF106 Y47:AF47 D86:AF86 Z67:AF69 Z72:AF74">
    <cfRule type="expression" dxfId="6494" priority="300">
      <formula>D$9&gt;=20/24</formula>
    </cfRule>
    <cfRule type="expression" dxfId="6493" priority="301">
      <formula>AND(D$9&gt;=14/24,D$9&lt;20/24)</formula>
    </cfRule>
    <cfRule type="expression" dxfId="6492" priority="302">
      <formula>AND(D$9&gt;=8/24,D$9&lt;14/24)</formula>
    </cfRule>
    <cfRule type="expression" dxfId="6491" priority="303">
      <formula>D$9&lt;8/24</formula>
    </cfRule>
  </conditionalFormatting>
  <conditionalFormatting sqref="Y47:AF47 Z67:AF69">
    <cfRule type="expression" dxfId="6490" priority="299">
      <formula>Y47&gt;$AG47</formula>
    </cfRule>
  </conditionalFormatting>
  <conditionalFormatting sqref="Z53:AF58">
    <cfRule type="expression" dxfId="6489" priority="295">
      <formula>Z$9&gt;=20/24</formula>
    </cfRule>
    <cfRule type="expression" dxfId="6488" priority="296">
      <formula>AND(Z$9&gt;=14/24,Z$9&lt;20/24)</formula>
    </cfRule>
    <cfRule type="expression" dxfId="6487" priority="297">
      <formula>AND(Z$9&gt;=8/24,Z$9&lt;14/24)</formula>
    </cfRule>
    <cfRule type="expression" dxfId="6486" priority="298">
      <formula>Z$9&lt;8/24</formula>
    </cfRule>
  </conditionalFormatting>
  <conditionalFormatting sqref="Z53:AF58">
    <cfRule type="expression" dxfId="6485" priority="294">
      <formula>Z53&gt;$AG53</formula>
    </cfRule>
  </conditionalFormatting>
  <conditionalFormatting sqref="C97:AF97 D88:AF88">
    <cfRule type="expression" dxfId="6484" priority="290">
      <formula>C$9&gt;=20/24</formula>
    </cfRule>
    <cfRule type="expression" dxfId="6483" priority="291">
      <formula>AND(C$9&gt;=14/24,C$9&lt;20/24)</formula>
    </cfRule>
    <cfRule type="expression" dxfId="6482" priority="292">
      <formula>AND(C$9&gt;=8/24,C$9&lt;14/24)</formula>
    </cfRule>
    <cfRule type="expression" dxfId="6481" priority="293">
      <formula>C$9&lt;8/24</formula>
    </cfRule>
  </conditionalFormatting>
  <conditionalFormatting sqref="U47:X47">
    <cfRule type="expression" dxfId="6480" priority="286">
      <formula>U$9&gt;=20/24</formula>
    </cfRule>
    <cfRule type="expression" dxfId="6479" priority="287">
      <formula>AND(U$9&gt;=14/24,U$9&lt;20/24)</formula>
    </cfRule>
    <cfRule type="expression" dxfId="6478" priority="288">
      <formula>AND(U$9&gt;=8/24,U$9&lt;14/24)</formula>
    </cfRule>
    <cfRule type="expression" dxfId="6477" priority="289">
      <formula>U$9&lt;8/24</formula>
    </cfRule>
  </conditionalFormatting>
  <conditionalFormatting sqref="U47:X47">
    <cfRule type="expression" dxfId="6476" priority="285">
      <formula>U47&gt;$AG47</formula>
    </cfRule>
  </conditionalFormatting>
  <conditionalFormatting sqref="E54:L55">
    <cfRule type="expression" dxfId="6475" priority="281">
      <formula>E$9&gt;=20/24</formula>
    </cfRule>
    <cfRule type="expression" dxfId="6474" priority="282">
      <formula>AND(E$9&gt;=14/24,E$9&lt;20/24)</formula>
    </cfRule>
    <cfRule type="expression" dxfId="6473" priority="283">
      <formula>AND(E$9&gt;=8/24,E$9&lt;14/24)</formula>
    </cfRule>
    <cfRule type="expression" dxfId="6472" priority="284">
      <formula>E$9&lt;8/24</formula>
    </cfRule>
  </conditionalFormatting>
  <conditionalFormatting sqref="E53:L53">
    <cfRule type="expression" dxfId="6471" priority="277">
      <formula>E$9&gt;=20/24</formula>
    </cfRule>
    <cfRule type="expression" dxfId="6470" priority="278">
      <formula>AND(E$9&gt;=14/24,E$9&lt;20/24)</formula>
    </cfRule>
    <cfRule type="expression" dxfId="6469" priority="279">
      <formula>AND(E$9&gt;=8/24,E$9&lt;14/24)</formula>
    </cfRule>
    <cfRule type="expression" dxfId="6468" priority="280">
      <formula>E$9&lt;8/24</formula>
    </cfRule>
  </conditionalFormatting>
  <conditionalFormatting sqref="E53:L55">
    <cfRule type="expression" dxfId="6467" priority="276">
      <formula>E53&gt;$AG53</formula>
    </cfRule>
  </conditionalFormatting>
  <conditionalFormatting sqref="AG70 AG87 Q67:Y69">
    <cfRule type="expression" dxfId="6466" priority="272">
      <formula>Q$9&gt;=20/24</formula>
    </cfRule>
    <cfRule type="expression" dxfId="6465" priority="273">
      <formula>AND(Q$9&gt;=14/24,Q$9&lt;20/24)</formula>
    </cfRule>
    <cfRule type="expression" dxfId="6464" priority="274">
      <formula>AND(Q$9&gt;=8/24,Q$9&lt;14/24)</formula>
    </cfRule>
    <cfRule type="expression" dxfId="6463" priority="275">
      <formula>Q$9&lt;8/24</formula>
    </cfRule>
  </conditionalFormatting>
  <conditionalFormatting sqref="AG48 AG66 AG70 Q67:Y69">
    <cfRule type="expression" dxfId="6462" priority="271">
      <formula>Q48&gt;$AG48</formula>
    </cfRule>
  </conditionalFormatting>
  <conditionalFormatting sqref="A43">
    <cfRule type="expression" dxfId="6461" priority="265">
      <formula>$AH43=0</formula>
    </cfRule>
  </conditionalFormatting>
  <conditionalFormatting sqref="Y91:AF95">
    <cfRule type="expression" dxfId="6460" priority="261">
      <formula>Y$9&gt;=20/24</formula>
    </cfRule>
    <cfRule type="expression" dxfId="6459" priority="262">
      <formula>AND(Y$9&gt;=14/24,Y$9&lt;20/24)</formula>
    </cfRule>
    <cfRule type="expression" dxfId="6458" priority="263">
      <formula>AND(Y$9&gt;=8/24,Y$9&lt;14/24)</formula>
    </cfRule>
    <cfRule type="expression" dxfId="6457" priority="264">
      <formula>Y$9&lt;8/24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E49:I49 J49:AF51">
    <cfRule type="expression" dxfId="6456" priority="257">
      <formula>E$9&gt;=20/24</formula>
    </cfRule>
    <cfRule type="expression" dxfId="6455" priority="258">
      <formula>AND(E$9&gt;=14/24,E$9&lt;20/24)</formula>
    </cfRule>
    <cfRule type="expression" dxfId="6454" priority="259">
      <formula>AND(E$9&gt;=8/24,E$9&lt;14/24)</formula>
    </cfRule>
    <cfRule type="expression" dxfId="6453" priority="260">
      <formula>E$9&lt;8/24</formula>
    </cfRule>
  </conditionalFormatting>
  <conditionalFormatting sqref="E49:I49 J49:AF51">
    <cfRule type="expression" dxfId="6452" priority="256">
      <formula>E49&gt;$AG49</formula>
    </cfRule>
  </conditionalFormatting>
  <conditionalFormatting sqref="AG52">
    <cfRule type="expression" dxfId="6451" priority="252">
      <formula>AG$9&gt;=20/24</formula>
    </cfRule>
    <cfRule type="expression" dxfId="6450" priority="253">
      <formula>AND(AG$9&gt;=14/24,AG$9&lt;20/24)</formula>
    </cfRule>
    <cfRule type="expression" dxfId="6449" priority="254">
      <formula>AND(AG$9&gt;=8/24,AG$9&lt;14/24)</formula>
    </cfRule>
    <cfRule type="expression" dxfId="6448" priority="255">
      <formula>AG$9&lt;8/24</formula>
    </cfRule>
  </conditionalFormatting>
  <conditionalFormatting sqref="AG52">
    <cfRule type="expression" dxfId="6447" priority="251">
      <formula>AG52&gt;$AG52</formula>
    </cfRule>
  </conditionalFormatting>
  <conditionalFormatting sqref="C107:AF107">
    <cfRule type="expression" dxfId="6446" priority="247">
      <formula>C$9&gt;=20/24</formula>
    </cfRule>
    <cfRule type="expression" dxfId="6445" priority="248">
      <formula>AND(C$9&gt;=14/24,C$9&lt;20/24)</formula>
    </cfRule>
    <cfRule type="expression" dxfId="6444" priority="249">
      <formula>AND(C$9&gt;=8/24,C$9&lt;14/24)</formula>
    </cfRule>
    <cfRule type="expression" dxfId="6443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6442" priority="245">
      <formula>$AH40=0</formula>
    </cfRule>
  </conditionalFormatting>
  <conditionalFormatting sqref="A90">
    <cfRule type="expression" dxfId="6441" priority="243">
      <formula>$AH90=0</formula>
    </cfRule>
  </conditionalFormatting>
  <conditionalFormatting sqref="A87">
    <cfRule type="expression" dxfId="6440" priority="244">
      <formula>$AH87=0</formula>
    </cfRule>
  </conditionalFormatting>
  <conditionalFormatting sqref="D110:AF110">
    <cfRule type="expression" dxfId="6439" priority="239">
      <formula>D$9&gt;=20/24</formula>
    </cfRule>
    <cfRule type="expression" dxfId="6438" priority="240">
      <formula>AND(D$9&gt;=14/24,D$9&lt;20/24)</formula>
    </cfRule>
    <cfRule type="expression" dxfId="6437" priority="241">
      <formula>AND(D$9&gt;=8/24,D$9&lt;14/24)</formula>
    </cfRule>
    <cfRule type="expression" dxfId="6436" priority="242">
      <formula>D$9&lt;8/24</formula>
    </cfRule>
  </conditionalFormatting>
  <conditionalFormatting sqref="A110">
    <cfRule type="expression" dxfId="6435" priority="238">
      <formula>$AH110=0</formula>
    </cfRule>
  </conditionalFormatting>
  <conditionalFormatting sqref="A21">
    <cfRule type="expression" dxfId="6434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433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D99">
    <cfRule type="expression" dxfId="6432" priority="230">
      <formula>Y$9&gt;=20/24</formula>
    </cfRule>
    <cfRule type="expression" dxfId="6431" priority="231">
      <formula>AND(Y$9&gt;=14/24,Y$9&lt;20/24)</formula>
    </cfRule>
    <cfRule type="expression" dxfId="6430" priority="232">
      <formula>AND(Y$9&gt;=8/24,Y$9&lt;14/24)</formula>
    </cfRule>
    <cfRule type="expression" dxfId="6429" priority="233">
      <formula>Y$9&lt;8/24</formula>
    </cfRule>
  </conditionalFormatting>
  <conditionalFormatting sqref="Y100:AD106">
    <cfRule type="expression" dxfId="6428" priority="226">
      <formula>Y$9&gt;=20/24</formula>
    </cfRule>
    <cfRule type="expression" dxfId="6427" priority="227">
      <formula>AND(Y$9&gt;=14/24,Y$9&lt;20/24)</formula>
    </cfRule>
    <cfRule type="expression" dxfId="6426" priority="228">
      <formula>AND(Y$9&gt;=8/24,Y$9&lt;14/24)</formula>
    </cfRule>
    <cfRule type="expression" dxfId="6425" priority="229">
      <formula>Y$9&lt;8/24</formula>
    </cfRule>
  </conditionalFormatting>
  <conditionalFormatting sqref="C109 C111:C116 Z34:AF43 Z17:AF32">
    <cfRule type="expression" dxfId="6424" priority="222">
      <formula>C$9&gt;=20/24</formula>
    </cfRule>
    <cfRule type="expression" dxfId="6423" priority="223">
      <formula>AND(C$9&gt;=14/24,C$9&lt;20/24)</formula>
    </cfRule>
    <cfRule type="expression" dxfId="6422" priority="224">
      <formula>AND(C$9&gt;=8/24,C$9&lt;14/24)</formula>
    </cfRule>
    <cfRule type="expression" dxfId="6421" priority="225">
      <formula>C$9&lt;8/24</formula>
    </cfRule>
  </conditionalFormatting>
  <conditionalFormatting sqref="C47:T47">
    <cfRule type="expression" dxfId="6420" priority="218">
      <formula>C$9&gt;=20/24</formula>
    </cfRule>
    <cfRule type="expression" dxfId="6419" priority="219">
      <formula>AND(C$9&gt;=14/24,C$9&lt;20/24)</formula>
    </cfRule>
    <cfRule type="expression" dxfId="6418" priority="220">
      <formula>AND(C$9&gt;=8/24,C$9&lt;14/24)</formula>
    </cfRule>
    <cfRule type="expression" dxfId="6417" priority="221">
      <formula>C$9&lt;8/24</formula>
    </cfRule>
  </conditionalFormatting>
  <conditionalFormatting sqref="C47:T47 Z34:AF43 Z17:AF32">
    <cfRule type="expression" dxfId="6416" priority="217">
      <formula>C17&gt;$AG17</formula>
    </cfRule>
  </conditionalFormatting>
  <conditionalFormatting sqref="C99:D99">
    <cfRule type="expression" dxfId="6415" priority="213">
      <formula>C$9&gt;=20/24</formula>
    </cfRule>
    <cfRule type="expression" dxfId="6414" priority="214">
      <formula>AND(C$9&gt;=14/24,C$9&lt;20/24)</formula>
    </cfRule>
    <cfRule type="expression" dxfId="6413" priority="215">
      <formula>AND(C$9&gt;=8/24,C$9&lt;14/24)</formula>
    </cfRule>
    <cfRule type="expression" dxfId="6412" priority="216">
      <formula>C$9&lt;8/24</formula>
    </cfRule>
  </conditionalFormatting>
  <conditionalFormatting sqref="C86 J67:P69 D100:L106 C96:X96 F74:Y76 C83:AF85 Z75:AF76">
    <cfRule type="expression" dxfId="6411" priority="209">
      <formula>C$9&gt;=20/24</formula>
    </cfRule>
    <cfRule type="expression" dxfId="6410" priority="210">
      <formula>AND(C$9&gt;=14/24,C$9&lt;20/24)</formula>
    </cfRule>
    <cfRule type="expression" dxfId="6409" priority="211">
      <formula>AND(C$9&gt;=8/24,C$9&lt;14/24)</formula>
    </cfRule>
    <cfRule type="expression" dxfId="6408" priority="212">
      <formula>C$9&lt;8/24</formula>
    </cfRule>
  </conditionalFormatting>
  <conditionalFormatting sqref="K56:L57 J67:P69">
    <cfRule type="expression" dxfId="6407" priority="208">
      <formula>J56&gt;$AG56</formula>
    </cfRule>
  </conditionalFormatting>
  <conditionalFormatting sqref="C71:E71">
    <cfRule type="expression" dxfId="6406" priority="132">
      <formula>C$9&gt;=20/24</formula>
    </cfRule>
    <cfRule type="expression" dxfId="6405" priority="133">
      <formula>AND(C$9&gt;=14/24,C$9&lt;20/24)</formula>
    </cfRule>
    <cfRule type="expression" dxfId="6404" priority="134">
      <formula>AND(C$9&gt;=8/24,C$9&lt;14/24)</formula>
    </cfRule>
    <cfRule type="expression" dxfId="6403" priority="135">
      <formula>C$9&lt;8/24</formula>
    </cfRule>
  </conditionalFormatting>
  <conditionalFormatting sqref="C98:AF98 C87:AF87 C89:AF89 B70:AF70">
    <cfRule type="expression" dxfId="6402" priority="199">
      <formula>B$9&gt;=20/24</formula>
    </cfRule>
    <cfRule type="expression" dxfId="6401" priority="200">
      <formula>AND(B$9&gt;=14/24,B$9&lt;20/24)</formula>
    </cfRule>
    <cfRule type="expression" dxfId="6400" priority="201">
      <formula>AND(B$9&gt;=8/24,B$9&lt;14/24)</formula>
    </cfRule>
    <cfRule type="expression" dxfId="6399" priority="202">
      <formula>B$9&lt;8/24</formula>
    </cfRule>
  </conditionalFormatting>
  <conditionalFormatting sqref="B70:AF70 B65:AF66 B48:AF48">
    <cfRule type="expression" dxfId="6398" priority="198">
      <formula>B48&gt;$AG48</formula>
    </cfRule>
  </conditionalFormatting>
  <conditionalFormatting sqref="C82:AF82">
    <cfRule type="expression" dxfId="6397" priority="194">
      <formula>C$9&gt;=20/24</formula>
    </cfRule>
    <cfRule type="expression" dxfId="6396" priority="195">
      <formula>AND(C$9&gt;=14/24,C$9&lt;20/24)</formula>
    </cfRule>
    <cfRule type="expression" dxfId="6395" priority="196">
      <formula>AND(C$9&gt;=8/24,C$9&lt;14/24)</formula>
    </cfRule>
    <cfRule type="expression" dxfId="6394" priority="197">
      <formula>C$9&lt;8/24</formula>
    </cfRule>
  </conditionalFormatting>
  <conditionalFormatting sqref="C91:X95">
    <cfRule type="expression" dxfId="6393" priority="190">
      <formula>C$9&gt;=20/24</formula>
    </cfRule>
    <cfRule type="expression" dxfId="6392" priority="191">
      <formula>AND(C$9&gt;=14/24,C$9&lt;20/24)</formula>
    </cfRule>
    <cfRule type="expression" dxfId="6391" priority="192">
      <formula>AND(C$9&gt;=8/24,C$9&lt;14/24)</formula>
    </cfRule>
    <cfRule type="expression" dxfId="6390" priority="193">
      <formula>C$9&lt;8/24</formula>
    </cfRule>
  </conditionalFormatting>
  <conditionalFormatting sqref="B52:AF52">
    <cfRule type="expression" dxfId="6389" priority="186">
      <formula>B$9&gt;=20/24</formula>
    </cfRule>
    <cfRule type="expression" dxfId="6388" priority="187">
      <formula>AND(B$9&gt;=14/24,B$9&lt;20/24)</formula>
    </cfRule>
    <cfRule type="expression" dxfId="6387" priority="188">
      <formula>AND(B$9&gt;=8/24,B$9&lt;14/24)</formula>
    </cfRule>
    <cfRule type="expression" dxfId="6386" priority="189">
      <formula>B$9&lt;8/24</formula>
    </cfRule>
  </conditionalFormatting>
  <conditionalFormatting sqref="B52:AF52">
    <cfRule type="expression" dxfId="6385" priority="185">
      <formula>B52&gt;$AG52</formula>
    </cfRule>
  </conditionalFormatting>
  <conditionalFormatting sqref="C49:D49">
    <cfRule type="expression" dxfId="6384" priority="100">
      <formula>C$9&gt;=20/24</formula>
    </cfRule>
    <cfRule type="expression" dxfId="6383" priority="101">
      <formula>AND(C$9&gt;=14/24,C$9&lt;20/24)</formula>
    </cfRule>
    <cfRule type="expression" dxfId="6382" priority="102">
      <formula>AND(C$9&gt;=8/24,C$9&lt;14/24)</formula>
    </cfRule>
    <cfRule type="expression" dxfId="6381" priority="103">
      <formula>C$9&lt;8/24</formula>
    </cfRule>
  </conditionalFormatting>
  <conditionalFormatting sqref="C110">
    <cfRule type="expression" dxfId="6380" priority="177">
      <formula>C$9&gt;=20/24</formula>
    </cfRule>
    <cfRule type="expression" dxfId="6379" priority="178">
      <formula>AND(C$9&gt;=14/24,C$9&lt;20/24)</formula>
    </cfRule>
    <cfRule type="expression" dxfId="6378" priority="179">
      <formula>AND(C$9&gt;=8/24,C$9&lt;14/24)</formula>
    </cfRule>
    <cfRule type="expression" dxfId="6377" priority="180">
      <formula>C$9&lt;8/24</formula>
    </cfRule>
  </conditionalFormatting>
  <conditionalFormatting sqref="M59:AF64">
    <cfRule type="expression" dxfId="6376" priority="173">
      <formula>M$9&gt;=20/24</formula>
    </cfRule>
    <cfRule type="expression" dxfId="6375" priority="174">
      <formula>AND(M$9&gt;=14/24,M$9&lt;20/24)</formula>
    </cfRule>
    <cfRule type="expression" dxfId="6374" priority="175">
      <formula>AND(M$9&gt;=8/24,M$9&lt;14/24)</formula>
    </cfRule>
    <cfRule type="expression" dxfId="6373" priority="176">
      <formula>M$9&lt;8/24</formula>
    </cfRule>
  </conditionalFormatting>
  <conditionalFormatting sqref="M59:AF64">
    <cfRule type="expression" dxfId="6372" priority="172">
      <formula>M59&gt;$AG59</formula>
    </cfRule>
  </conditionalFormatting>
  <conditionalFormatting sqref="Z45:AF45 Z13:AF15">
    <cfRule type="expression" dxfId="6371" priority="171">
      <formula>Z13&gt;$AG13</formula>
    </cfRule>
  </conditionalFormatting>
  <conditionalFormatting sqref="Z12:AF12">
    <cfRule type="expression" dxfId="6370" priority="167">
      <formula>Z$9&gt;=20/24</formula>
    </cfRule>
    <cfRule type="expression" dxfId="6369" priority="168">
      <formula>AND(Z$9&gt;=14/24,Z$9&lt;20/24)</formula>
    </cfRule>
    <cfRule type="expression" dxfId="6368" priority="169">
      <formula>AND(Z$9&gt;=8/24,Z$9&lt;14/24)</formula>
    </cfRule>
    <cfRule type="expression" dxfId="6367" priority="170">
      <formula>Z$9&lt;8/24</formula>
    </cfRule>
  </conditionalFormatting>
  <conditionalFormatting sqref="Z12:AF12">
    <cfRule type="expression" dxfId="6366" priority="166">
      <formula>Z12&gt;$AG12</formula>
    </cfRule>
  </conditionalFormatting>
  <conditionalFormatting sqref="Z13:AF15">
    <cfRule type="expression" dxfId="6365" priority="162">
      <formula>Z$9&gt;=20/24</formula>
    </cfRule>
    <cfRule type="expression" dxfId="6364" priority="163">
      <formula>AND(Z$9&gt;=14/24,Z$9&lt;20/24)</formula>
    </cfRule>
    <cfRule type="expression" dxfId="6363" priority="164">
      <formula>AND(Z$9&gt;=8/24,Z$9&lt;14/24)</formula>
    </cfRule>
    <cfRule type="expression" dxfId="6362" priority="165">
      <formula>Z$9&lt;8/24</formula>
    </cfRule>
  </conditionalFormatting>
  <conditionalFormatting sqref="Z45:AF45">
    <cfRule type="expression" dxfId="6361" priority="158">
      <formula>Z$9&gt;=20/24</formula>
    </cfRule>
    <cfRule type="expression" dxfId="6360" priority="159">
      <formula>AND(Z$9&gt;=14/24,Z$9&lt;20/24)</formula>
    </cfRule>
    <cfRule type="expression" dxfId="6359" priority="160">
      <formula>AND(Z$9&gt;=8/24,Z$9&lt;14/24)</formula>
    </cfRule>
    <cfRule type="expression" dxfId="6358" priority="161">
      <formula>Z$9&lt;8/24</formula>
    </cfRule>
  </conditionalFormatting>
  <conditionalFormatting sqref="M77:AF81">
    <cfRule type="expression" dxfId="6357" priority="154">
      <formula>M$9&gt;=20/24</formula>
    </cfRule>
    <cfRule type="expression" dxfId="6356" priority="155">
      <formula>AND(M$9&gt;=14/24,M$9&lt;20/24)</formula>
    </cfRule>
    <cfRule type="expression" dxfId="6355" priority="156">
      <formula>AND(M$9&gt;=8/24,M$9&lt;14/24)</formula>
    </cfRule>
    <cfRule type="expression" dxfId="6354" priority="157">
      <formula>M$9&lt;8/24</formula>
    </cfRule>
  </conditionalFormatting>
  <conditionalFormatting sqref="AL78:AN78 AL84:AN84 AN79:AN80">
    <cfRule type="expression" dxfId="6353" priority="150">
      <formula>AL$9&gt;=20/24</formula>
    </cfRule>
    <cfRule type="expression" dxfId="6352" priority="151">
      <formula>AND(AL$9&gt;=14/24,AL$9&lt;20/24)</formula>
    </cfRule>
    <cfRule type="expression" dxfId="6351" priority="152">
      <formula>AND(AL$9&gt;=8/24,AL$9&lt;14/24)</formula>
    </cfRule>
    <cfRule type="expression" dxfId="6350" priority="153">
      <formula>AL$9&lt;8/24</formula>
    </cfRule>
  </conditionalFormatting>
  <conditionalFormatting sqref="AN81:AN82">
    <cfRule type="expression" dxfId="6349" priority="146">
      <formula>AN$9&gt;=20/24</formula>
    </cfRule>
    <cfRule type="expression" dxfId="6348" priority="147">
      <formula>AND(AN$9&gt;=14/24,AN$9&lt;20/24)</formula>
    </cfRule>
    <cfRule type="expression" dxfId="6347" priority="148">
      <formula>AND(AN$9&gt;=8/24,AN$9&lt;14/24)</formula>
    </cfRule>
    <cfRule type="expression" dxfId="6346" priority="149">
      <formula>AN$9&lt;8/24</formula>
    </cfRule>
  </conditionalFormatting>
  <conditionalFormatting sqref="AL79:AM83">
    <cfRule type="expression" dxfId="6345" priority="363">
      <formula>AJ$9&gt;=20/24</formula>
    </cfRule>
    <cfRule type="expression" dxfId="6344" priority="364">
      <formula>AND(AJ$9&gt;=14/24,AJ$9&lt;20/24)</formula>
    </cfRule>
    <cfRule type="expression" dxfId="6343" priority="365">
      <formula>AND(AJ$9&gt;=8/24,AJ$9&lt;14/24)</formula>
    </cfRule>
    <cfRule type="expression" dxfId="6342" priority="366">
      <formula>AJ$9&lt;8/24</formula>
    </cfRule>
  </conditionalFormatting>
  <conditionalFormatting sqref="A117">
    <cfRule type="expression" dxfId="6341" priority="145">
      <formula>$AH117=0</formula>
    </cfRule>
  </conditionalFormatting>
  <conditionalFormatting sqref="B109 B111:B116">
    <cfRule type="expression" dxfId="6340" priority="141">
      <formula>B$9&gt;=20/24</formula>
    </cfRule>
    <cfRule type="expression" dxfId="6339" priority="142">
      <formula>AND(B$9&gt;=14/24,B$9&lt;20/24)</formula>
    </cfRule>
    <cfRule type="expression" dxfId="6338" priority="143">
      <formula>AND(B$9&gt;=8/24,B$9&lt;14/24)</formula>
    </cfRule>
    <cfRule type="expression" dxfId="6337" priority="144">
      <formula>B$9&lt;8/24</formula>
    </cfRule>
  </conditionalFormatting>
  <conditionalFormatting sqref="B99">
    <cfRule type="expression" dxfId="6336" priority="136">
      <formula>B$9&gt;=20/24</formula>
    </cfRule>
    <cfRule type="expression" dxfId="6335" priority="137">
      <formula>AND(B$9&gt;=14/24,B$9&lt;20/24)</formula>
    </cfRule>
    <cfRule type="expression" dxfId="6334" priority="138">
      <formula>AND(B$9&gt;=8/24,B$9&lt;14/24)</formula>
    </cfRule>
    <cfRule type="expression" dxfId="6333" priority="139">
      <formula>B$9&lt;8/24</formula>
    </cfRule>
  </conditionalFormatting>
  <conditionalFormatting sqref="D53">
    <cfRule type="expression" dxfId="6332" priority="128">
      <formula>D$9&gt;=20/24</formula>
    </cfRule>
    <cfRule type="expression" dxfId="6331" priority="129">
      <formula>AND(D$9&gt;=14/24,D$9&lt;20/24)</formula>
    </cfRule>
    <cfRule type="expression" dxfId="6330" priority="130">
      <formula>AND(D$9&gt;=8/24,D$9&lt;14/24)</formula>
    </cfRule>
    <cfRule type="expression" dxfId="6329" priority="131">
      <formula>D$9&lt;8/24</formula>
    </cfRule>
  </conditionalFormatting>
  <conditionalFormatting sqref="D53">
    <cfRule type="expression" dxfId="6328" priority="127">
      <formula>D53&gt;$AG53</formula>
    </cfRule>
  </conditionalFormatting>
  <conditionalFormatting sqref="B96 B86 B100:C106">
    <cfRule type="expression" dxfId="6327" priority="123">
      <formula>B$9&gt;=20/24</formula>
    </cfRule>
    <cfRule type="expression" dxfId="6326" priority="124">
      <formula>AND(B$9&gt;=14/24,B$9&lt;20/24)</formula>
    </cfRule>
    <cfRule type="expression" dxfId="6325" priority="125">
      <formula>AND(B$9&gt;=8/24,B$9&lt;14/24)</formula>
    </cfRule>
    <cfRule type="expression" dxfId="6324" priority="126">
      <formula>B$9&lt;8/24</formula>
    </cfRule>
  </conditionalFormatting>
  <conditionalFormatting sqref="B97 B88:C88">
    <cfRule type="expression" dxfId="6323" priority="118">
      <formula>B$9&gt;=20/24</formula>
    </cfRule>
    <cfRule type="expression" dxfId="6322" priority="119">
      <formula>AND(B$9&gt;=14/24,B$9&lt;20/24)</formula>
    </cfRule>
    <cfRule type="expression" dxfId="6321" priority="120">
      <formula>AND(B$9&gt;=8/24,B$9&lt;14/24)</formula>
    </cfRule>
    <cfRule type="expression" dxfId="6320" priority="121">
      <formula>B$9&lt;8/24</formula>
    </cfRule>
  </conditionalFormatting>
  <conditionalFormatting sqref="Z46:AF46">
    <cfRule type="expression" dxfId="6319" priority="114">
      <formula>Z$9&gt;=20/24</formula>
    </cfRule>
    <cfRule type="expression" dxfId="6318" priority="115">
      <formula>AND(Z$9&gt;=14/24,Z$9&lt;20/24)</formula>
    </cfRule>
    <cfRule type="expression" dxfId="6317" priority="116">
      <formula>AND(Z$9&gt;=8/24,Z$9&lt;14/24)</formula>
    </cfRule>
    <cfRule type="expression" dxfId="6316" priority="117">
      <formula>Z$9&lt;8/24</formula>
    </cfRule>
  </conditionalFormatting>
  <conditionalFormatting sqref="Z46:AF46">
    <cfRule type="expression" dxfId="6315" priority="113">
      <formula>Z46&gt;$AG46</formula>
    </cfRule>
  </conditionalFormatting>
  <conditionalFormatting sqref="B91:B95">
    <cfRule type="expression" dxfId="6314" priority="104">
      <formula>B$9&gt;=20/24</formula>
    </cfRule>
    <cfRule type="expression" dxfId="6313" priority="105">
      <formula>AND(B$9&gt;=14/24,B$9&lt;20/24)</formula>
    </cfRule>
    <cfRule type="expression" dxfId="6312" priority="106">
      <formula>AND(B$9&gt;=8/24,B$9&lt;14/24)</formula>
    </cfRule>
    <cfRule type="expression" dxfId="6311" priority="107">
      <formula>B$9&lt;8/24</formula>
    </cfRule>
  </conditionalFormatting>
  <conditionalFormatting sqref="C49:D49">
    <cfRule type="expression" dxfId="6310" priority="99">
      <formula>C49&gt;$AG49</formula>
    </cfRule>
  </conditionalFormatting>
  <conditionalFormatting sqref="B107">
    <cfRule type="expression" dxfId="6309" priority="95">
      <formula>B$9&gt;=20/24</formula>
    </cfRule>
    <cfRule type="expression" dxfId="6308" priority="96">
      <formula>AND(B$9&gt;=14/24,B$9&lt;20/24)</formula>
    </cfRule>
    <cfRule type="expression" dxfId="6307" priority="97">
      <formula>AND(B$9&gt;=8/24,B$9&lt;14/24)</formula>
    </cfRule>
    <cfRule type="expression" dxfId="6306" priority="98">
      <formula>B$9&lt;8/24</formula>
    </cfRule>
  </conditionalFormatting>
  <conditionalFormatting sqref="B110">
    <cfRule type="expression" dxfId="6305" priority="91">
      <formula>B$9&gt;=20/24</formula>
    </cfRule>
    <cfRule type="expression" dxfId="6304" priority="92">
      <formula>AND(B$9&gt;=14/24,B$9&lt;20/24)</formula>
    </cfRule>
    <cfRule type="expression" dxfId="6303" priority="93">
      <formula>AND(B$9&gt;=8/24,B$9&lt;14/24)</formula>
    </cfRule>
    <cfRule type="expression" dxfId="6302" priority="94">
      <formula>B$9&lt;8/24</formula>
    </cfRule>
  </conditionalFormatting>
  <conditionalFormatting sqref="B83:B85">
    <cfRule type="expression" dxfId="6301" priority="87">
      <formula>B$9&gt;=20/24</formula>
    </cfRule>
    <cfRule type="expression" dxfId="6300" priority="88">
      <formula>AND(B$9&gt;=14/24,B$9&lt;20/24)</formula>
    </cfRule>
    <cfRule type="expression" dxfId="6299" priority="89">
      <formula>AND(B$9&gt;=8/24,B$9&lt;14/24)</formula>
    </cfRule>
    <cfRule type="expression" dxfId="6298" priority="90">
      <formula>B$9&lt;8/24</formula>
    </cfRule>
  </conditionalFormatting>
  <conditionalFormatting sqref="B89 B98 B87">
    <cfRule type="expression" dxfId="6297" priority="83">
      <formula>B$9&gt;=20/24</formula>
    </cfRule>
    <cfRule type="expression" dxfId="6296" priority="84">
      <formula>AND(B$9&gt;=14/24,B$9&lt;20/24)</formula>
    </cfRule>
    <cfRule type="expression" dxfId="6295" priority="85">
      <formula>AND(B$9&gt;=8/24,B$9&lt;14/24)</formula>
    </cfRule>
    <cfRule type="expression" dxfId="6294" priority="86">
      <formula>B$9&lt;8/24</formula>
    </cfRule>
  </conditionalFormatting>
  <conditionalFormatting sqref="B82">
    <cfRule type="expression" dxfId="6293" priority="78">
      <formula>B$9&gt;=20/24</formula>
    </cfRule>
    <cfRule type="expression" dxfId="6292" priority="79">
      <formula>AND(B$9&gt;=14/24,B$9&lt;20/24)</formula>
    </cfRule>
    <cfRule type="expression" dxfId="6291" priority="80">
      <formula>AND(B$9&gt;=8/24,B$9&lt;14/24)</formula>
    </cfRule>
    <cfRule type="expression" dxfId="6290" priority="81">
      <formula>B$9&lt;8/24</formula>
    </cfRule>
  </conditionalFormatting>
  <conditionalFormatting sqref="A11">
    <cfRule type="expression" dxfId="6289" priority="59">
      <formula>$AH11=0</formula>
    </cfRule>
  </conditionalFormatting>
  <conditionalFormatting sqref="Z11:AF11">
    <cfRule type="expression" dxfId="6288" priority="55">
      <formula>Z$9&gt;=20/24</formula>
    </cfRule>
    <cfRule type="expression" dxfId="6287" priority="56">
      <formula>AND(Z$9&gt;=14/24,Z$9&lt;20/24)</formula>
    </cfRule>
    <cfRule type="expression" dxfId="6286" priority="57">
      <formula>AND(Z$9&gt;=8/24,Z$9&lt;14/24)</formula>
    </cfRule>
    <cfRule type="expression" dxfId="6285" priority="58">
      <formula>Z$9&lt;8/24</formula>
    </cfRule>
  </conditionalFormatting>
  <conditionalFormatting sqref="Z11:AF11">
    <cfRule type="expression" dxfId="6284" priority="54">
      <formula>Z11&gt;$AG11</formula>
    </cfRule>
  </conditionalFormatting>
  <conditionalFormatting sqref="B11:B47 B49:B51 B71:B81 B53:C57 D54:D57 C72:E81 F77:L81 C50:I51 B67:I69 E56:J57 B58:L64 C11:Y46">
    <cfRule type="expression" dxfId="6283" priority="50">
      <formula>B$9&gt;=20/24</formula>
    </cfRule>
    <cfRule type="expression" dxfId="6282" priority="51">
      <formula>AND(B$9&gt;=14/24,B$9&lt;20/24)</formula>
    </cfRule>
    <cfRule type="expression" dxfId="6281" priority="52">
      <formula>AND(B$9&gt;=8/24,B$9&lt;14/24)</formula>
    </cfRule>
    <cfRule type="expression" dxfId="6280" priority="53">
      <formula>B$9&lt;8/24</formula>
    </cfRule>
  </conditionalFormatting>
  <conditionalFormatting sqref="B11:B47 B49:B51 B71:B81 B53:C57 D54:D57 C72:E81 F77:L81 C50:I51 B67:I69 E56:J57 B58:L64 C11:Y46">
    <cfRule type="expression" dxfId="6279" priority="49">
      <formula>B11&gt;$AG11</formula>
    </cfRule>
  </conditionalFormatting>
  <conditionalFormatting sqref="A16">
    <cfRule type="expression" dxfId="6278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6277" priority="43">
      <formula>Z$9&gt;=20/24</formula>
    </cfRule>
    <cfRule type="expression" dxfId="6276" priority="44">
      <formula>AND(Z$9&gt;=14/24,Z$9&lt;20/24)</formula>
    </cfRule>
    <cfRule type="expression" dxfId="6275" priority="45">
      <formula>AND(Z$9&gt;=8/24,Z$9&lt;14/24)</formula>
    </cfRule>
    <cfRule type="expression" dxfId="6274" priority="46">
      <formula>Z$9&lt;8/24</formula>
    </cfRule>
  </conditionalFormatting>
  <conditionalFormatting sqref="Z16:AF16">
    <cfRule type="expression" dxfId="6273" priority="42">
      <formula>Z16&gt;$AG16</formula>
    </cfRule>
  </conditionalFormatting>
  <conditionalFormatting sqref="A33">
    <cfRule type="expression" dxfId="6272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6271" priority="31">
      <formula>Z$9&gt;=20/24</formula>
    </cfRule>
    <cfRule type="expression" dxfId="6270" priority="32">
      <formula>AND(Z$9&gt;=14/24,Z$9&lt;20/24)</formula>
    </cfRule>
    <cfRule type="expression" dxfId="6269" priority="33">
      <formula>AND(Z$9&gt;=8/24,Z$9&lt;14/24)</formula>
    </cfRule>
    <cfRule type="expression" dxfId="6268" priority="34">
      <formula>Z$9&lt;8/24</formula>
    </cfRule>
  </conditionalFormatting>
  <conditionalFormatting sqref="Z33:AF33">
    <cfRule type="expression" dxfId="6267" priority="30">
      <formula>Z33&gt;$AG33</formula>
    </cfRule>
  </conditionalFormatting>
  <conditionalFormatting sqref="A44">
    <cfRule type="expression" dxfId="6266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6265" priority="22">
      <formula>Z44&gt;$AG44</formula>
    </cfRule>
  </conditionalFormatting>
  <conditionalFormatting sqref="Z44:AF44">
    <cfRule type="expression" dxfId="6264" priority="18">
      <formula>Z$9&gt;=20/24</formula>
    </cfRule>
    <cfRule type="expression" dxfId="6263" priority="19">
      <formula>AND(Z$9&gt;=14/24,Z$9&lt;20/24)</formula>
    </cfRule>
    <cfRule type="expression" dxfId="6262" priority="20">
      <formula>AND(Z$9&gt;=8/24,Z$9&lt;14/24)</formula>
    </cfRule>
    <cfRule type="expression" dxfId="6261" priority="21">
      <formula>Z$9&lt;8/24</formula>
    </cfRule>
  </conditionalFormatting>
  <conditionalFormatting sqref="B117">
    <cfRule type="expression" dxfId="6260" priority="1">
      <formula>B$9&gt;=20/24</formula>
    </cfRule>
    <cfRule type="expression" dxfId="6259" priority="2">
      <formula>AND(B$9&gt;=14/24,B$9&lt;20/24)</formula>
    </cfRule>
    <cfRule type="expression" dxfId="6258" priority="3">
      <formula>AND(B$9&gt;=8/24,B$9&lt;14/24)</formula>
    </cfRule>
    <cfRule type="expression" dxfId="6257" priority="4">
      <formula>B$9&lt;8/24</formula>
    </cfRule>
  </conditionalFormatting>
  <conditionalFormatting sqref="D117:AF117">
    <cfRule type="expression" dxfId="6256" priority="9">
      <formula>D$9&gt;=20/24</formula>
    </cfRule>
    <cfRule type="expression" dxfId="6255" priority="10">
      <formula>AND(D$9&gt;=14/24,D$9&lt;20/24)</formula>
    </cfRule>
    <cfRule type="expression" dxfId="6254" priority="11">
      <formula>AND(D$9&gt;=8/24,D$9&lt;14/24)</formula>
    </cfRule>
    <cfRule type="expression" dxfId="6253" priority="12">
      <formula>D$9&lt;8/24</formula>
    </cfRule>
  </conditionalFormatting>
  <conditionalFormatting sqref="C117">
    <cfRule type="expression" dxfId="6252" priority="5">
      <formula>C$9&gt;=20/24</formula>
    </cfRule>
    <cfRule type="expression" dxfId="6251" priority="6">
      <formula>AND(C$9&gt;=14/24,C$9&lt;20/24)</formula>
    </cfRule>
    <cfRule type="expression" dxfId="6250" priority="7">
      <formula>AND(C$9&gt;=8/24,C$9&lt;14/24)</formula>
    </cfRule>
    <cfRule type="expression" dxfId="6249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C213ADB8-EB83-4D2B-8B54-935B6956DB1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10B47025-BFB8-4948-9408-54CE117FF83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0F2B3604-456D-4C7C-8D52-E989F151E98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E2F0FC48-9CF9-4EB2-8036-EB5DA344F2D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83EBC879-2B8C-4910-91EE-D0E29C909AB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422B741A-CC1B-42BC-9839-0746499B125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7DE65FEC-CD2F-4741-9404-F334F993F47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8745D778-A165-46D8-AD3E-868E0A27529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="90" zoomScaleNormal="90" workbookViewId="0">
      <pane ySplit="10" topLeftCell="A11" activePane="bottomLeft" state="frozen"/>
      <selection activeCell="Z85" sqref="Z85"/>
      <selection pane="bottomLeft" activeCell="B90" sqref="B90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2079/12/11</v>
      </c>
      <c r="C4" s="236"/>
      <c r="D4" s="236"/>
      <c r="E4" s="237" t="str">
        <f ca="1">"2079/"&amp;"12/"&amp;INT(MID(CELL("filename",G6),FIND("]",CELL("filename",G6))+1,200))</f>
        <v>2079/12/11</v>
      </c>
      <c r="F4" s="237"/>
      <c r="G4" s="237"/>
      <c r="H4" s="237" t="str">
        <f ca="1">TEXT(E4,"dddd")</f>
        <v>Monday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456</v>
      </c>
      <c r="C5" s="33">
        <f t="shared" si="0"/>
        <v>463.5</v>
      </c>
      <c r="D5" s="33">
        <f t="shared" si="0"/>
        <v>516</v>
      </c>
      <c r="E5" s="33">
        <f t="shared" si="0"/>
        <v>486.00000000000006</v>
      </c>
      <c r="F5" s="33">
        <f t="shared" si="0"/>
        <v>442.09999999999997</v>
      </c>
      <c r="G5" s="33">
        <f t="shared" si="0"/>
        <v>428</v>
      </c>
      <c r="H5" s="33">
        <f t="shared" si="0"/>
        <v>494.90000000000003</v>
      </c>
      <c r="I5" s="33">
        <f t="shared" si="0"/>
        <v>522.4</v>
      </c>
      <c r="J5" s="33">
        <f t="shared" si="0"/>
        <v>521.1</v>
      </c>
      <c r="K5" s="33">
        <f t="shared" si="0"/>
        <v>527</v>
      </c>
      <c r="L5" s="33">
        <f t="shared" si="0"/>
        <v>483.6</v>
      </c>
      <c r="M5" s="33">
        <f t="shared" si="0"/>
        <v>514</v>
      </c>
      <c r="N5" s="33">
        <f t="shared" si="0"/>
        <v>580.1</v>
      </c>
      <c r="O5" s="33">
        <f t="shared" si="0"/>
        <v>534.6</v>
      </c>
      <c r="P5" s="33">
        <f t="shared" si="0"/>
        <v>538</v>
      </c>
      <c r="Q5" s="33">
        <f t="shared" si="0"/>
        <v>549.4</v>
      </c>
      <c r="R5" s="33">
        <f t="shared" si="0"/>
        <v>571.59999999999991</v>
      </c>
      <c r="S5" s="33">
        <f t="shared" si="0"/>
        <v>583.69999999999993</v>
      </c>
      <c r="T5" s="33">
        <f t="shared" si="0"/>
        <v>578.09999999999991</v>
      </c>
      <c r="U5" s="33">
        <f t="shared" si="0"/>
        <v>522.4</v>
      </c>
      <c r="V5" s="33">
        <f t="shared" si="0"/>
        <v>516.29999999999995</v>
      </c>
      <c r="W5" s="33">
        <f t="shared" si="0"/>
        <v>564.29999999999995</v>
      </c>
      <c r="X5" s="33">
        <f t="shared" si="0"/>
        <v>574.29999999999995</v>
      </c>
      <c r="Y5" s="33">
        <f t="shared" si="0"/>
        <v>582.6</v>
      </c>
      <c r="Z5" s="33">
        <f t="shared" si="0"/>
        <v>535.6</v>
      </c>
      <c r="AA5" s="33">
        <f t="shared" si="0"/>
        <v>517.20000000000005</v>
      </c>
      <c r="AB5" s="33">
        <f t="shared" si="0"/>
        <v>530</v>
      </c>
      <c r="AC5" s="33">
        <f t="shared" si="0"/>
        <v>523</v>
      </c>
      <c r="AD5" s="33">
        <f t="shared" si="0"/>
        <v>508</v>
      </c>
      <c r="AE5" s="33">
        <f t="shared" si="0"/>
        <v>485</v>
      </c>
      <c r="AF5" s="33">
        <f>B82</f>
        <v>425.7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1369MW at 9:00hr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Load=1064</v>
      </c>
      <c r="B7" s="38">
        <f t="shared" ref="B7:AF7" si="1">B89</f>
        <v>1103.44</v>
      </c>
      <c r="C7" s="38">
        <f t="shared" si="1"/>
        <v>1064.1399999999999</v>
      </c>
      <c r="D7" s="38">
        <f t="shared" si="1"/>
        <v>1071.1399999999999</v>
      </c>
      <c r="E7" s="38">
        <f t="shared" si="1"/>
        <v>1077.3400000000001</v>
      </c>
      <c r="F7" s="38">
        <f t="shared" si="1"/>
        <v>1063.74</v>
      </c>
      <c r="G7" s="38">
        <f t="shared" si="1"/>
        <v>1101.94</v>
      </c>
      <c r="H7" s="38">
        <f t="shared" si="1"/>
        <v>1138.44</v>
      </c>
      <c r="I7" s="38">
        <f t="shared" si="1"/>
        <v>1184.6400000000001</v>
      </c>
      <c r="J7" s="38">
        <f t="shared" si="1"/>
        <v>1198.1399999999999</v>
      </c>
      <c r="K7" s="38">
        <f t="shared" si="1"/>
        <v>1221.1399999999999</v>
      </c>
      <c r="L7" s="38">
        <f t="shared" si="1"/>
        <v>1346.74</v>
      </c>
      <c r="M7" s="38">
        <f t="shared" si="1"/>
        <v>1317.8400000000001</v>
      </c>
      <c r="N7" s="38">
        <f>N89</f>
        <v>1369.04</v>
      </c>
      <c r="O7" s="38">
        <f t="shared" si="1"/>
        <v>1410.1399999999999</v>
      </c>
      <c r="P7" s="38">
        <f t="shared" si="1"/>
        <v>1347.6399999999999</v>
      </c>
      <c r="Q7" s="38">
        <f t="shared" si="1"/>
        <v>1343.34</v>
      </c>
      <c r="R7" s="38">
        <f t="shared" si="1"/>
        <v>1287.54</v>
      </c>
      <c r="S7" s="38">
        <f t="shared" si="1"/>
        <v>1356.7399999999998</v>
      </c>
      <c r="T7" s="38">
        <f t="shared" si="1"/>
        <v>1371.8399999999997</v>
      </c>
      <c r="U7" s="38">
        <f t="shared" si="1"/>
        <v>1387.54</v>
      </c>
      <c r="V7" s="38">
        <f t="shared" si="1"/>
        <v>1320.7399999999998</v>
      </c>
      <c r="W7" s="38">
        <f t="shared" si="1"/>
        <v>1322.7399999999998</v>
      </c>
      <c r="X7" s="38">
        <f t="shared" si="1"/>
        <v>1340.84</v>
      </c>
      <c r="Y7" s="38">
        <f t="shared" si="1"/>
        <v>1396.04</v>
      </c>
      <c r="Z7" s="38">
        <f t="shared" si="1"/>
        <v>1560.44</v>
      </c>
      <c r="AA7" s="38">
        <f t="shared" si="1"/>
        <v>1518.04</v>
      </c>
      <c r="AB7" s="38">
        <f t="shared" si="1"/>
        <v>1445.44</v>
      </c>
      <c r="AC7" s="38">
        <f t="shared" si="1"/>
        <v>1388.1399999999999</v>
      </c>
      <c r="AD7" s="38">
        <f t="shared" si="1"/>
        <v>1286.04</v>
      </c>
      <c r="AE7" s="38">
        <f t="shared" si="1"/>
        <v>1228.04</v>
      </c>
      <c r="AF7" s="38">
        <f t="shared" si="1"/>
        <v>1196.04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26</v>
      </c>
      <c r="C11" s="50">
        <v>26</v>
      </c>
      <c r="D11" s="50">
        <v>39</v>
      </c>
      <c r="E11" s="50">
        <v>39</v>
      </c>
      <c r="F11" s="50">
        <v>39</v>
      </c>
      <c r="G11" s="50">
        <v>39</v>
      </c>
      <c r="H11" s="50">
        <v>39</v>
      </c>
      <c r="I11" s="50">
        <v>39</v>
      </c>
      <c r="J11" s="50">
        <v>39</v>
      </c>
      <c r="K11" s="50">
        <v>39</v>
      </c>
      <c r="L11" s="50">
        <v>39</v>
      </c>
      <c r="M11" s="50">
        <v>39</v>
      </c>
      <c r="N11" s="50">
        <v>39</v>
      </c>
      <c r="O11" s="50">
        <v>39</v>
      </c>
      <c r="P11" s="50">
        <v>39</v>
      </c>
      <c r="Q11" s="50">
        <v>27.5</v>
      </c>
      <c r="R11" s="50">
        <v>27.5</v>
      </c>
      <c r="S11" s="50">
        <v>27.5</v>
      </c>
      <c r="T11" s="50">
        <v>27.5</v>
      </c>
      <c r="U11" s="50">
        <v>27.5</v>
      </c>
      <c r="V11" s="50">
        <v>27.5</v>
      </c>
      <c r="W11" s="50">
        <v>27.5</v>
      </c>
      <c r="X11" s="50">
        <v>27.5</v>
      </c>
      <c r="Y11" s="50">
        <v>27.5</v>
      </c>
      <c r="Z11" s="50">
        <v>27.5</v>
      </c>
      <c r="AA11" s="50">
        <v>27.5</v>
      </c>
      <c r="AB11" s="50">
        <v>27.5</v>
      </c>
      <c r="AC11" s="50">
        <v>27.5</v>
      </c>
      <c r="AD11" s="50">
        <v>27.5</v>
      </c>
      <c r="AE11" s="50">
        <v>27.5</v>
      </c>
      <c r="AF11" s="50">
        <v>27.5</v>
      </c>
      <c r="AG11" s="51">
        <v>86</v>
      </c>
      <c r="AH11" s="52">
        <f t="shared" ref="AH11:AH74" si="2">MAX(B11:AF11)</f>
        <v>39</v>
      </c>
      <c r="AI11" s="53">
        <f t="shared" ref="AI11:AI74" si="3">MIN(B11:AF11)</f>
        <v>26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13</v>
      </c>
      <c r="C12" s="50">
        <v>13</v>
      </c>
      <c r="D12" s="50">
        <v>20.7</v>
      </c>
      <c r="E12" s="50">
        <v>20.7</v>
      </c>
      <c r="F12" s="50">
        <v>20.7</v>
      </c>
      <c r="G12" s="50">
        <v>20.7</v>
      </c>
      <c r="H12" s="50">
        <v>20.7</v>
      </c>
      <c r="I12" s="50">
        <v>20.7</v>
      </c>
      <c r="J12" s="50">
        <v>20.7</v>
      </c>
      <c r="K12" s="50">
        <v>20.7</v>
      </c>
      <c r="L12" s="50">
        <v>20.7</v>
      </c>
      <c r="M12" s="50">
        <v>20.7</v>
      </c>
      <c r="N12" s="50">
        <v>20.7</v>
      </c>
      <c r="O12" s="50">
        <v>20.7</v>
      </c>
      <c r="P12" s="50">
        <v>20.7</v>
      </c>
      <c r="Q12" s="50">
        <v>14</v>
      </c>
      <c r="R12" s="50">
        <v>14</v>
      </c>
      <c r="S12" s="50">
        <v>14</v>
      </c>
      <c r="T12" s="50">
        <v>14</v>
      </c>
      <c r="U12" s="50">
        <v>14</v>
      </c>
      <c r="V12" s="50">
        <v>14</v>
      </c>
      <c r="W12" s="50">
        <v>14</v>
      </c>
      <c r="X12" s="50">
        <v>14</v>
      </c>
      <c r="Y12" s="50">
        <v>14</v>
      </c>
      <c r="Z12" s="50">
        <v>14</v>
      </c>
      <c r="AA12" s="50">
        <v>14</v>
      </c>
      <c r="AB12" s="50">
        <v>14</v>
      </c>
      <c r="AC12" s="50">
        <v>14</v>
      </c>
      <c r="AD12" s="50">
        <v>14</v>
      </c>
      <c r="AE12" s="50">
        <v>14</v>
      </c>
      <c r="AF12" s="50">
        <v>14</v>
      </c>
      <c r="AG12" s="51">
        <v>52.4</v>
      </c>
      <c r="AH12" s="52">
        <f t="shared" si="2"/>
        <v>20.7</v>
      </c>
      <c r="AI12" s="53">
        <f t="shared" si="3"/>
        <v>13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31.2</v>
      </c>
      <c r="C13" s="50">
        <v>31.2</v>
      </c>
      <c r="D13" s="50">
        <v>30.6</v>
      </c>
      <c r="E13" s="50">
        <v>30.6</v>
      </c>
      <c r="F13" s="50">
        <v>30.6</v>
      </c>
      <c r="G13" s="50">
        <v>30.6</v>
      </c>
      <c r="H13" s="50">
        <v>30.6</v>
      </c>
      <c r="I13" s="50">
        <v>30.6</v>
      </c>
      <c r="J13" s="50">
        <v>30.6</v>
      </c>
      <c r="K13" s="50">
        <v>30.6</v>
      </c>
      <c r="L13" s="50">
        <v>30.6</v>
      </c>
      <c r="M13" s="50">
        <v>30.6</v>
      </c>
      <c r="N13" s="50">
        <v>30.6</v>
      </c>
      <c r="O13" s="50">
        <v>30.6</v>
      </c>
      <c r="P13" s="50">
        <v>30.6</v>
      </c>
      <c r="Q13" s="50">
        <v>31.4</v>
      </c>
      <c r="R13" s="50">
        <v>31.4</v>
      </c>
      <c r="S13" s="50">
        <v>31.4</v>
      </c>
      <c r="T13" s="50">
        <v>31.4</v>
      </c>
      <c r="U13" s="50">
        <v>31.4</v>
      </c>
      <c r="V13" s="50">
        <v>31.4</v>
      </c>
      <c r="W13" s="50">
        <v>31.4</v>
      </c>
      <c r="X13" s="50">
        <v>31.4</v>
      </c>
      <c r="Y13" s="50">
        <v>31.4</v>
      </c>
      <c r="Z13" s="50">
        <v>31.4</v>
      </c>
      <c r="AA13" s="50">
        <v>31.4</v>
      </c>
      <c r="AB13" s="50">
        <v>31.4</v>
      </c>
      <c r="AC13" s="50">
        <v>31.4</v>
      </c>
      <c r="AD13" s="50">
        <v>31.4</v>
      </c>
      <c r="AE13" s="50">
        <v>31.4</v>
      </c>
      <c r="AF13" s="50">
        <v>31.4</v>
      </c>
      <c r="AG13" s="55">
        <v>50</v>
      </c>
      <c r="AH13" s="52">
        <f t="shared" si="2"/>
        <v>31.4</v>
      </c>
      <c r="AI13" s="53">
        <f t="shared" si="3"/>
        <v>30.6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14.5</v>
      </c>
      <c r="C14" s="50">
        <v>14.5</v>
      </c>
      <c r="D14" s="50">
        <v>15.6</v>
      </c>
      <c r="E14" s="50">
        <v>15.6</v>
      </c>
      <c r="F14" s="50">
        <v>15.6</v>
      </c>
      <c r="G14" s="50">
        <v>15.6</v>
      </c>
      <c r="H14" s="50">
        <v>15.6</v>
      </c>
      <c r="I14" s="50">
        <v>15.6</v>
      </c>
      <c r="J14" s="50">
        <v>15.6</v>
      </c>
      <c r="K14" s="50">
        <v>15.6</v>
      </c>
      <c r="L14" s="50">
        <v>15.6</v>
      </c>
      <c r="M14" s="50">
        <v>15.6</v>
      </c>
      <c r="N14" s="50">
        <v>15.6</v>
      </c>
      <c r="O14" s="50">
        <v>15.6</v>
      </c>
      <c r="P14" s="50">
        <v>15.6</v>
      </c>
      <c r="Q14" s="50">
        <v>14.8</v>
      </c>
      <c r="R14" s="50">
        <v>14.8</v>
      </c>
      <c r="S14" s="50">
        <v>14.8</v>
      </c>
      <c r="T14" s="50">
        <v>14.8</v>
      </c>
      <c r="U14" s="50">
        <v>14.8</v>
      </c>
      <c r="V14" s="50">
        <v>14.8</v>
      </c>
      <c r="W14" s="50">
        <v>14.8</v>
      </c>
      <c r="X14" s="50">
        <v>14.8</v>
      </c>
      <c r="Y14" s="50">
        <v>14.8</v>
      </c>
      <c r="Z14" s="50">
        <v>14.8</v>
      </c>
      <c r="AA14" s="50">
        <v>14.8</v>
      </c>
      <c r="AB14" s="50">
        <v>14.8</v>
      </c>
      <c r="AC14" s="50">
        <v>14.8</v>
      </c>
      <c r="AD14" s="50">
        <v>14.8</v>
      </c>
      <c r="AE14" s="50">
        <v>14.8</v>
      </c>
      <c r="AF14" s="50">
        <v>14.8</v>
      </c>
      <c r="AG14" s="55">
        <v>45</v>
      </c>
      <c r="AH14" s="52">
        <f t="shared" si="2"/>
        <v>15.6</v>
      </c>
      <c r="AI14" s="53">
        <f t="shared" si="3"/>
        <v>14.5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8</v>
      </c>
      <c r="C15" s="50">
        <v>8</v>
      </c>
      <c r="D15" s="50">
        <v>10</v>
      </c>
      <c r="E15" s="50">
        <v>10</v>
      </c>
      <c r="F15" s="50">
        <v>10</v>
      </c>
      <c r="G15" s="50">
        <v>10</v>
      </c>
      <c r="H15" s="50">
        <v>10</v>
      </c>
      <c r="I15" s="50">
        <v>10</v>
      </c>
      <c r="J15" s="50">
        <v>10</v>
      </c>
      <c r="K15" s="50">
        <v>10</v>
      </c>
      <c r="L15" s="50">
        <v>10</v>
      </c>
      <c r="M15" s="50">
        <v>10</v>
      </c>
      <c r="N15" s="50">
        <v>10</v>
      </c>
      <c r="O15" s="50">
        <v>10</v>
      </c>
      <c r="P15" s="50">
        <v>10</v>
      </c>
      <c r="Q15" s="50">
        <v>10</v>
      </c>
      <c r="R15" s="50">
        <v>10</v>
      </c>
      <c r="S15" s="50">
        <v>10</v>
      </c>
      <c r="T15" s="50">
        <v>10</v>
      </c>
      <c r="U15" s="50">
        <v>10</v>
      </c>
      <c r="V15" s="50">
        <v>10</v>
      </c>
      <c r="W15" s="50">
        <v>10</v>
      </c>
      <c r="X15" s="50">
        <v>10</v>
      </c>
      <c r="Y15" s="50">
        <v>10</v>
      </c>
      <c r="Z15" s="50">
        <v>10</v>
      </c>
      <c r="AA15" s="50">
        <v>10</v>
      </c>
      <c r="AB15" s="50">
        <v>10</v>
      </c>
      <c r="AC15" s="50">
        <v>10</v>
      </c>
      <c r="AD15" s="50">
        <v>10</v>
      </c>
      <c r="AE15" s="50">
        <v>10</v>
      </c>
      <c r="AF15" s="50">
        <v>10</v>
      </c>
      <c r="AG15" s="55">
        <v>42</v>
      </c>
      <c r="AH15" s="52">
        <f t="shared" si="2"/>
        <v>10</v>
      </c>
      <c r="AI15" s="53">
        <f t="shared" si="3"/>
        <v>8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14</v>
      </c>
      <c r="C16" s="50">
        <v>14</v>
      </c>
      <c r="D16" s="50">
        <v>14</v>
      </c>
      <c r="E16" s="50">
        <v>14</v>
      </c>
      <c r="F16" s="50">
        <v>14</v>
      </c>
      <c r="G16" s="50">
        <v>14</v>
      </c>
      <c r="H16" s="50">
        <v>14</v>
      </c>
      <c r="I16" s="50">
        <v>14</v>
      </c>
      <c r="J16" s="50">
        <v>14</v>
      </c>
      <c r="K16" s="50">
        <v>14</v>
      </c>
      <c r="L16" s="50">
        <v>14</v>
      </c>
      <c r="M16" s="50">
        <v>14</v>
      </c>
      <c r="N16" s="50">
        <v>14</v>
      </c>
      <c r="O16" s="50">
        <v>14</v>
      </c>
      <c r="P16" s="50">
        <v>14</v>
      </c>
      <c r="Q16" s="50">
        <v>14</v>
      </c>
      <c r="R16" s="50">
        <v>14</v>
      </c>
      <c r="S16" s="50">
        <v>14</v>
      </c>
      <c r="T16" s="50">
        <v>14</v>
      </c>
      <c r="U16" s="50">
        <v>14</v>
      </c>
      <c r="V16" s="50">
        <v>14</v>
      </c>
      <c r="W16" s="50">
        <v>14</v>
      </c>
      <c r="X16" s="50">
        <v>14</v>
      </c>
      <c r="Y16" s="50">
        <v>14</v>
      </c>
      <c r="Z16" s="50">
        <v>14</v>
      </c>
      <c r="AA16" s="50">
        <v>14</v>
      </c>
      <c r="AB16" s="50">
        <v>14</v>
      </c>
      <c r="AC16" s="50">
        <v>14</v>
      </c>
      <c r="AD16" s="50">
        <v>14</v>
      </c>
      <c r="AE16" s="50">
        <v>14</v>
      </c>
      <c r="AF16" s="50">
        <v>14</v>
      </c>
      <c r="AG16" s="55">
        <v>36</v>
      </c>
      <c r="AH16" s="52">
        <f t="shared" si="2"/>
        <v>14</v>
      </c>
      <c r="AI16" s="53">
        <f t="shared" si="3"/>
        <v>14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50">
        <f>(24*35)</f>
        <v>840</v>
      </c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8.4</v>
      </c>
      <c r="C18" s="50">
        <v>8.4</v>
      </c>
      <c r="D18" s="50">
        <v>8.1999999999999993</v>
      </c>
      <c r="E18" s="50">
        <v>8.1999999999999993</v>
      </c>
      <c r="F18" s="50">
        <v>8.1999999999999993</v>
      </c>
      <c r="G18" s="50">
        <v>8.1999999999999993</v>
      </c>
      <c r="H18" s="50">
        <v>8.1999999999999993</v>
      </c>
      <c r="I18" s="50">
        <v>8.1999999999999993</v>
      </c>
      <c r="J18" s="50">
        <v>8.1999999999999993</v>
      </c>
      <c r="K18" s="50">
        <v>8.1999999999999993</v>
      </c>
      <c r="L18" s="50">
        <v>8.1999999999999993</v>
      </c>
      <c r="M18" s="50">
        <v>8.1999999999999993</v>
      </c>
      <c r="N18" s="50">
        <v>8.1999999999999993</v>
      </c>
      <c r="O18" s="50">
        <v>8.1999999999999993</v>
      </c>
      <c r="P18" s="50">
        <v>8.1999999999999993</v>
      </c>
      <c r="Q18" s="50">
        <v>8.1999999999999993</v>
      </c>
      <c r="R18" s="50">
        <v>8.1999999999999993</v>
      </c>
      <c r="S18" s="50">
        <v>8.1999999999999993</v>
      </c>
      <c r="T18" s="50">
        <v>8.1999999999999993</v>
      </c>
      <c r="U18" s="50">
        <v>8.1999999999999993</v>
      </c>
      <c r="V18" s="50">
        <v>8.1999999999999993</v>
      </c>
      <c r="W18" s="50">
        <v>8.1999999999999993</v>
      </c>
      <c r="X18" s="50">
        <v>8.1999999999999993</v>
      </c>
      <c r="Y18" s="50">
        <v>8.1999999999999993</v>
      </c>
      <c r="Z18" s="50">
        <v>8.1999999999999993</v>
      </c>
      <c r="AA18" s="50">
        <v>8.1999999999999993</v>
      </c>
      <c r="AB18" s="50">
        <v>9.6999999999999993</v>
      </c>
      <c r="AC18" s="50">
        <v>9.6999999999999993</v>
      </c>
      <c r="AD18" s="50">
        <v>9.6999999999999993</v>
      </c>
      <c r="AE18" s="50">
        <v>9.6999999999999993</v>
      </c>
      <c r="AF18" s="50">
        <v>9.6999999999999993</v>
      </c>
      <c r="AG18" s="56">
        <v>30</v>
      </c>
      <c r="AH18" s="52">
        <f t="shared" si="2"/>
        <v>9.6999999999999993</v>
      </c>
      <c r="AI18" s="53">
        <f t="shared" si="3"/>
        <v>8.1999999999999993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6.6</v>
      </c>
      <c r="C19" s="50">
        <v>6.6</v>
      </c>
      <c r="D19" s="50">
        <v>8.6</v>
      </c>
      <c r="E19" s="50">
        <v>8.6</v>
      </c>
      <c r="F19" s="50">
        <v>8.6</v>
      </c>
      <c r="G19" s="50">
        <v>8.6</v>
      </c>
      <c r="H19" s="50">
        <v>8.6</v>
      </c>
      <c r="I19" s="50">
        <v>8.6</v>
      </c>
      <c r="J19" s="50">
        <v>8.6</v>
      </c>
      <c r="K19" s="50">
        <v>8.6</v>
      </c>
      <c r="L19" s="50">
        <v>8.6</v>
      </c>
      <c r="M19" s="50">
        <v>8.6</v>
      </c>
      <c r="N19" s="50">
        <v>8.6</v>
      </c>
      <c r="O19" s="50">
        <v>8.6</v>
      </c>
      <c r="P19" s="50">
        <v>8.6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6.6</v>
      </c>
      <c r="AA19" s="50">
        <v>6.6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8.6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0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55">
        <v>28</v>
      </c>
      <c r="AH20" s="52">
        <f t="shared" si="2"/>
        <v>11</v>
      </c>
      <c r="AI20" s="53">
        <f t="shared" si="3"/>
        <v>0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6.5</v>
      </c>
      <c r="C21" s="50">
        <v>6.5</v>
      </c>
      <c r="D21" s="50">
        <v>6.5</v>
      </c>
      <c r="E21" s="50">
        <v>6.5</v>
      </c>
      <c r="F21" s="50">
        <v>6.5</v>
      </c>
      <c r="G21" s="50">
        <v>6.5</v>
      </c>
      <c r="H21" s="50">
        <v>6.5</v>
      </c>
      <c r="I21" s="50">
        <v>6.5</v>
      </c>
      <c r="J21" s="50">
        <v>6.5</v>
      </c>
      <c r="K21" s="50">
        <v>6.5</v>
      </c>
      <c r="L21" s="50">
        <v>6.5</v>
      </c>
      <c r="M21" s="50">
        <v>6.5</v>
      </c>
      <c r="N21" s="50">
        <v>6.5</v>
      </c>
      <c r="O21" s="50">
        <v>6.5</v>
      </c>
      <c r="P21" s="50">
        <v>6.5</v>
      </c>
      <c r="Q21" s="50">
        <v>6.5</v>
      </c>
      <c r="R21" s="50">
        <v>6.5</v>
      </c>
      <c r="S21" s="50">
        <v>6.5</v>
      </c>
      <c r="T21" s="50">
        <v>6.5</v>
      </c>
      <c r="U21" s="50">
        <v>6.5</v>
      </c>
      <c r="V21" s="50">
        <v>6.5</v>
      </c>
      <c r="W21" s="50">
        <v>6.5</v>
      </c>
      <c r="X21" s="50">
        <v>6.5</v>
      </c>
      <c r="Y21" s="50">
        <v>6.5</v>
      </c>
      <c r="Z21" s="50">
        <v>6.5</v>
      </c>
      <c r="AA21" s="50">
        <v>6.5</v>
      </c>
      <c r="AB21" s="50">
        <v>6.5</v>
      </c>
      <c r="AC21" s="50">
        <v>6.5</v>
      </c>
      <c r="AD21" s="50">
        <v>6.5</v>
      </c>
      <c r="AE21" s="50">
        <v>6.5</v>
      </c>
      <c r="AF21" s="50">
        <v>6.5</v>
      </c>
      <c r="AG21" s="56">
        <v>30</v>
      </c>
      <c r="AH21" s="52">
        <f t="shared" si="2"/>
        <v>6.5</v>
      </c>
      <c r="AI21" s="53">
        <f t="shared" si="3"/>
        <v>6.5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8.8000000000000007</v>
      </c>
      <c r="C22" s="50">
        <v>8.8000000000000007</v>
      </c>
      <c r="D22" s="50">
        <v>8.8000000000000007</v>
      </c>
      <c r="E22" s="50">
        <v>8.8000000000000007</v>
      </c>
      <c r="F22" s="50">
        <v>8.8000000000000007</v>
      </c>
      <c r="G22" s="50">
        <v>8.8000000000000007</v>
      </c>
      <c r="H22" s="50">
        <v>8.8000000000000007</v>
      </c>
      <c r="I22" s="50">
        <v>8.8000000000000007</v>
      </c>
      <c r="J22" s="50">
        <v>8.8000000000000007</v>
      </c>
      <c r="K22" s="50">
        <v>8.8000000000000007</v>
      </c>
      <c r="L22" s="50">
        <v>8.8000000000000007</v>
      </c>
      <c r="M22" s="50">
        <v>8.8000000000000007</v>
      </c>
      <c r="N22" s="50">
        <v>8.8000000000000007</v>
      </c>
      <c r="O22" s="50">
        <v>8.8000000000000007</v>
      </c>
      <c r="P22" s="50">
        <v>8.8000000000000007</v>
      </c>
      <c r="Q22" s="50">
        <v>8.1999999999999993</v>
      </c>
      <c r="R22" s="50">
        <v>8.1999999999999993</v>
      </c>
      <c r="S22" s="50">
        <v>8.1999999999999993</v>
      </c>
      <c r="T22" s="50">
        <v>8.1999999999999993</v>
      </c>
      <c r="U22" s="50">
        <v>8.1999999999999993</v>
      </c>
      <c r="V22" s="50">
        <v>8.1999999999999993</v>
      </c>
      <c r="W22" s="50">
        <v>8.1999999999999993</v>
      </c>
      <c r="X22" s="50">
        <v>8.1999999999999993</v>
      </c>
      <c r="Y22" s="50">
        <v>8.1999999999999993</v>
      </c>
      <c r="Z22" s="50">
        <v>8.1999999999999993</v>
      </c>
      <c r="AA22" s="50">
        <v>8.1999999999999993</v>
      </c>
      <c r="AB22" s="50">
        <v>8.1999999999999993</v>
      </c>
      <c r="AC22" s="50">
        <v>8.1999999999999993</v>
      </c>
      <c r="AD22" s="50">
        <v>8.1999999999999993</v>
      </c>
      <c r="AE22" s="50">
        <v>8.1999999999999993</v>
      </c>
      <c r="AF22" s="50">
        <v>8.1999999999999993</v>
      </c>
      <c r="AG22" s="55">
        <v>25</v>
      </c>
      <c r="AH22" s="52">
        <f t="shared" si="2"/>
        <v>8.8000000000000007</v>
      </c>
      <c r="AI22" s="53">
        <f t="shared" si="3"/>
        <v>8.1999999999999993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9.4</v>
      </c>
      <c r="R23" s="50">
        <v>9.4</v>
      </c>
      <c r="S23" s="50">
        <v>9.4</v>
      </c>
      <c r="T23" s="50">
        <v>9.4</v>
      </c>
      <c r="U23" s="50">
        <v>9.4</v>
      </c>
      <c r="V23" s="50">
        <v>9.4</v>
      </c>
      <c r="W23" s="50">
        <v>9.4</v>
      </c>
      <c r="X23" s="50">
        <v>9.4</v>
      </c>
      <c r="Y23" s="50">
        <v>9.4</v>
      </c>
      <c r="Z23" s="50">
        <v>9.4</v>
      </c>
      <c r="AA23" s="50">
        <v>9.4</v>
      </c>
      <c r="AB23" s="50">
        <v>9.4</v>
      </c>
      <c r="AC23" s="50">
        <v>9.4</v>
      </c>
      <c r="AD23" s="50">
        <v>9.4</v>
      </c>
      <c r="AE23" s="50">
        <v>9.4</v>
      </c>
      <c r="AF23" s="50">
        <v>9.4</v>
      </c>
      <c r="AG23" s="55">
        <v>25</v>
      </c>
      <c r="AH23" s="52">
        <f t="shared" si="2"/>
        <v>9.4</v>
      </c>
      <c r="AI23" s="53">
        <f t="shared" si="3"/>
        <v>9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6</v>
      </c>
      <c r="C26" s="50">
        <v>6</v>
      </c>
      <c r="D26" s="50">
        <v>6</v>
      </c>
      <c r="E26" s="50">
        <v>6</v>
      </c>
      <c r="F26" s="50">
        <v>6</v>
      </c>
      <c r="G26" s="50">
        <v>6</v>
      </c>
      <c r="H26" s="50">
        <v>6</v>
      </c>
      <c r="I26" s="50">
        <v>6</v>
      </c>
      <c r="J26" s="50">
        <v>6</v>
      </c>
      <c r="K26" s="50">
        <v>6</v>
      </c>
      <c r="L26" s="50">
        <v>6</v>
      </c>
      <c r="M26" s="50">
        <v>6</v>
      </c>
      <c r="N26" s="50">
        <v>6</v>
      </c>
      <c r="O26" s="50">
        <v>6</v>
      </c>
      <c r="P26" s="50">
        <v>6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5">
        <v>23.5</v>
      </c>
      <c r="AH26" s="52">
        <f t="shared" si="2"/>
        <v>6.2</v>
      </c>
      <c r="AI26" s="53">
        <f t="shared" si="3"/>
        <v>6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5">
        <v>22</v>
      </c>
      <c r="AH29" s="52">
        <f t="shared" si="2"/>
        <v>4</v>
      </c>
      <c r="AI29" s="53">
        <f t="shared" si="3"/>
        <v>4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6</v>
      </c>
      <c r="C30" s="50">
        <v>6</v>
      </c>
      <c r="D30" s="50">
        <v>6</v>
      </c>
      <c r="E30" s="50">
        <v>6</v>
      </c>
      <c r="F30" s="50">
        <v>6</v>
      </c>
      <c r="G30" s="50">
        <v>6</v>
      </c>
      <c r="H30" s="50">
        <v>6</v>
      </c>
      <c r="I30" s="50">
        <v>6</v>
      </c>
      <c r="J30" s="50">
        <v>6</v>
      </c>
      <c r="K30" s="50">
        <v>6</v>
      </c>
      <c r="L30" s="50">
        <v>6</v>
      </c>
      <c r="M30" s="50">
        <v>6</v>
      </c>
      <c r="N30" s="50">
        <v>6</v>
      </c>
      <c r="O30" s="50">
        <v>6</v>
      </c>
      <c r="P30" s="50">
        <v>6</v>
      </c>
      <c r="Q30" s="50">
        <v>9</v>
      </c>
      <c r="R30" s="50">
        <v>9</v>
      </c>
      <c r="S30" s="50">
        <v>9</v>
      </c>
      <c r="T30" s="50">
        <v>9</v>
      </c>
      <c r="U30" s="50">
        <v>9</v>
      </c>
      <c r="V30" s="50">
        <v>9</v>
      </c>
      <c r="W30" s="50">
        <v>9</v>
      </c>
      <c r="X30" s="50">
        <v>9</v>
      </c>
      <c r="Y30" s="50">
        <v>9</v>
      </c>
      <c r="Z30" s="50">
        <v>9</v>
      </c>
      <c r="AA30" s="50">
        <v>9</v>
      </c>
      <c r="AB30" s="50">
        <v>9</v>
      </c>
      <c r="AC30" s="50">
        <v>9</v>
      </c>
      <c r="AD30" s="50">
        <v>9</v>
      </c>
      <c r="AE30" s="50">
        <v>9</v>
      </c>
      <c r="AF30" s="50">
        <v>9</v>
      </c>
      <c r="AG30" s="55">
        <v>22</v>
      </c>
      <c r="AH30" s="52">
        <f t="shared" si="2"/>
        <v>9</v>
      </c>
      <c r="AI30" s="53">
        <f t="shared" si="3"/>
        <v>6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55">
        <v>20</v>
      </c>
      <c r="AH31" s="52">
        <f t="shared" si="2"/>
        <v>6</v>
      </c>
      <c r="AI31" s="53">
        <f t="shared" si="3"/>
        <v>6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>
        <v>4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5.2</v>
      </c>
      <c r="C38" s="50">
        <v>5.2</v>
      </c>
      <c r="D38" s="50">
        <v>5.2</v>
      </c>
      <c r="E38" s="50">
        <v>5.2</v>
      </c>
      <c r="F38" s="50">
        <v>5.2</v>
      </c>
      <c r="G38" s="50">
        <v>5.2</v>
      </c>
      <c r="H38" s="50">
        <v>5.2</v>
      </c>
      <c r="I38" s="50">
        <v>5.2</v>
      </c>
      <c r="J38" s="50">
        <v>5.2</v>
      </c>
      <c r="K38" s="50">
        <v>5.2</v>
      </c>
      <c r="L38" s="50">
        <v>5.2</v>
      </c>
      <c r="M38" s="50">
        <v>5.2</v>
      </c>
      <c r="N38" s="50">
        <v>5.2</v>
      </c>
      <c r="O38" s="50">
        <v>5.2</v>
      </c>
      <c r="P38" s="50">
        <v>5.2</v>
      </c>
      <c r="Q38" s="50">
        <v>5.2</v>
      </c>
      <c r="R38" s="50">
        <v>5.2</v>
      </c>
      <c r="S38" s="50">
        <v>5.2</v>
      </c>
      <c r="T38" s="50">
        <v>5.2</v>
      </c>
      <c r="U38" s="50">
        <v>5.2</v>
      </c>
      <c r="V38" s="50">
        <v>5.2</v>
      </c>
      <c r="W38" s="50">
        <v>5.2</v>
      </c>
      <c r="X38" s="50">
        <v>5.2</v>
      </c>
      <c r="Y38" s="50">
        <v>5.2</v>
      </c>
      <c r="Z38" s="50">
        <v>5.2</v>
      </c>
      <c r="AA38" s="50">
        <v>5.2</v>
      </c>
      <c r="AB38" s="50">
        <v>5.2</v>
      </c>
      <c r="AC38" s="50">
        <v>5.2</v>
      </c>
      <c r="AD38" s="50">
        <v>5.2</v>
      </c>
      <c r="AE38" s="50">
        <v>5.2</v>
      </c>
      <c r="AF38" s="50">
        <v>5.2</v>
      </c>
      <c r="AG38" s="55">
        <v>12</v>
      </c>
      <c r="AH38" s="52">
        <f t="shared" si="2"/>
        <v>5.2</v>
      </c>
      <c r="AI38" s="53">
        <f t="shared" si="3"/>
        <v>5.2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50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3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120</v>
      </c>
      <c r="C46" s="63">
        <v>120</v>
      </c>
      <c r="D46" s="63">
        <v>120</v>
      </c>
      <c r="E46" s="63">
        <v>120</v>
      </c>
      <c r="F46" s="63">
        <v>120</v>
      </c>
      <c r="G46" s="63">
        <v>120</v>
      </c>
      <c r="H46" s="63">
        <v>120</v>
      </c>
      <c r="I46" s="63">
        <v>120</v>
      </c>
      <c r="J46" s="63">
        <v>120</v>
      </c>
      <c r="K46" s="63">
        <v>120</v>
      </c>
      <c r="L46" s="63">
        <v>120</v>
      </c>
      <c r="M46" s="63">
        <v>120</v>
      </c>
      <c r="N46" s="63">
        <v>120</v>
      </c>
      <c r="O46" s="63">
        <v>120</v>
      </c>
      <c r="P46" s="63">
        <v>120</v>
      </c>
      <c r="Q46" s="63">
        <v>120</v>
      </c>
      <c r="R46" s="63">
        <v>120</v>
      </c>
      <c r="S46" s="63">
        <v>120</v>
      </c>
      <c r="T46" s="63">
        <v>120</v>
      </c>
      <c r="U46" s="63">
        <v>120</v>
      </c>
      <c r="V46" s="63">
        <v>120</v>
      </c>
      <c r="W46" s="63">
        <v>120</v>
      </c>
      <c r="X46" s="63">
        <v>120</v>
      </c>
      <c r="Y46" s="63">
        <v>120</v>
      </c>
      <c r="Z46" s="63">
        <v>120</v>
      </c>
      <c r="AA46" s="63">
        <v>120</v>
      </c>
      <c r="AB46" s="63">
        <v>120</v>
      </c>
      <c r="AC46" s="63">
        <v>120</v>
      </c>
      <c r="AD46" s="63">
        <v>120</v>
      </c>
      <c r="AE46" s="63">
        <v>120</v>
      </c>
      <c r="AF46" s="63">
        <v>120</v>
      </c>
      <c r="AG46" s="61">
        <v>85</v>
      </c>
      <c r="AH46" s="52">
        <f t="shared" si="2"/>
        <v>120</v>
      </c>
      <c r="AI46" s="53">
        <f t="shared" si="3"/>
        <v>120</v>
      </c>
      <c r="AK46" s="54"/>
    </row>
    <row r="47" spans="1:88" ht="15.75" thickBot="1" x14ac:dyDescent="0.3">
      <c r="A47" s="64" t="s">
        <v>55</v>
      </c>
      <c r="B47" s="63">
        <v>38</v>
      </c>
      <c r="C47" s="63">
        <v>38</v>
      </c>
      <c r="D47" s="65">
        <v>40</v>
      </c>
      <c r="E47" s="65">
        <v>38</v>
      </c>
      <c r="F47" s="65">
        <v>38</v>
      </c>
      <c r="G47" s="65">
        <v>38</v>
      </c>
      <c r="H47" s="65">
        <v>38</v>
      </c>
      <c r="I47" s="65">
        <v>38</v>
      </c>
      <c r="J47" s="65">
        <v>38</v>
      </c>
      <c r="K47" s="65">
        <v>38</v>
      </c>
      <c r="L47" s="65">
        <v>38</v>
      </c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40</v>
      </c>
      <c r="AI47" s="53">
        <f t="shared" si="3"/>
        <v>38</v>
      </c>
      <c r="AK47" s="54"/>
    </row>
    <row r="48" spans="1:88" ht="15.75" thickBot="1" x14ac:dyDescent="0.3">
      <c r="A48" s="66" t="s">
        <v>56</v>
      </c>
      <c r="B48" s="67">
        <f t="shared" ref="B48:AG48" si="4">SUM(B12:B46)</f>
        <v>340.5</v>
      </c>
      <c r="C48" s="67">
        <f t="shared" si="4"/>
        <v>340.5</v>
      </c>
      <c r="D48" s="67">
        <f t="shared" si="4"/>
        <v>352.5</v>
      </c>
      <c r="E48" s="67">
        <f t="shared" si="4"/>
        <v>352.5</v>
      </c>
      <c r="F48" s="67">
        <f t="shared" si="4"/>
        <v>352.5</v>
      </c>
      <c r="G48" s="67">
        <f t="shared" si="4"/>
        <v>352.5</v>
      </c>
      <c r="H48" s="67">
        <f t="shared" si="4"/>
        <v>352.5</v>
      </c>
      <c r="I48" s="67">
        <f t="shared" si="4"/>
        <v>352.5</v>
      </c>
      <c r="J48" s="67">
        <f t="shared" si="4"/>
        <v>352.5</v>
      </c>
      <c r="K48" s="67">
        <f t="shared" si="4"/>
        <v>352.5</v>
      </c>
      <c r="L48" s="67">
        <f t="shared" si="4"/>
        <v>352.5</v>
      </c>
      <c r="M48" s="67">
        <f t="shared" si="4"/>
        <v>352.5</v>
      </c>
      <c r="N48" s="67">
        <f t="shared" si="4"/>
        <v>352.5</v>
      </c>
      <c r="O48" s="67">
        <f t="shared" si="4"/>
        <v>352.5</v>
      </c>
      <c r="P48" s="67">
        <f t="shared" si="4"/>
        <v>352.5</v>
      </c>
      <c r="Q48" s="67">
        <f t="shared" ref="Q48" si="5">SUM(Q12:Q46)</f>
        <v>346.79999999999995</v>
      </c>
      <c r="R48" s="67">
        <f t="shared" si="4"/>
        <v>346.79999999999995</v>
      </c>
      <c r="S48" s="67">
        <f t="shared" si="4"/>
        <v>346.79999999999995</v>
      </c>
      <c r="T48" s="67">
        <f t="shared" si="4"/>
        <v>346.79999999999995</v>
      </c>
      <c r="U48" s="67">
        <f t="shared" si="4"/>
        <v>346.79999999999995</v>
      </c>
      <c r="V48" s="67">
        <f t="shared" si="4"/>
        <v>346.79999999999995</v>
      </c>
      <c r="W48" s="67">
        <f t="shared" si="4"/>
        <v>346.79999999999995</v>
      </c>
      <c r="X48" s="67">
        <f t="shared" si="4"/>
        <v>346.79999999999995</v>
      </c>
      <c r="Y48" s="67">
        <f t="shared" si="4"/>
        <v>357.79999999999995</v>
      </c>
      <c r="Z48" s="67">
        <f t="shared" si="4"/>
        <v>357.79999999999995</v>
      </c>
      <c r="AA48" s="67">
        <f t="shared" si="4"/>
        <v>357.79999999999995</v>
      </c>
      <c r="AB48" s="67">
        <f t="shared" ref="AB48:AC48" si="6">SUM(AB12:AB46)</f>
        <v>359.29999999999995</v>
      </c>
      <c r="AC48" s="67">
        <f t="shared" si="6"/>
        <v>359.29999999999995</v>
      </c>
      <c r="AD48" s="67">
        <f t="shared" si="4"/>
        <v>359.29999999999995</v>
      </c>
      <c r="AE48" s="67">
        <f t="shared" si="4"/>
        <v>359.29999999999995</v>
      </c>
      <c r="AF48" s="67">
        <f t="shared" si="4"/>
        <v>359.29999999999995</v>
      </c>
      <c r="AG48" s="68">
        <f t="shared" si="4"/>
        <v>875.68</v>
      </c>
      <c r="AH48" s="52">
        <f t="shared" si="2"/>
        <v>359.29999999999995</v>
      </c>
      <c r="AI48" s="53">
        <f t="shared" si="3"/>
        <v>340.5</v>
      </c>
      <c r="AK48" s="54"/>
    </row>
    <row r="49" spans="1:41" x14ac:dyDescent="0.25">
      <c r="A49" s="69" t="s">
        <v>57</v>
      </c>
      <c r="B49" s="50">
        <v>40</v>
      </c>
      <c r="C49" s="50">
        <v>92.3</v>
      </c>
      <c r="D49" s="50">
        <v>92.3</v>
      </c>
      <c r="E49" s="50">
        <v>50</v>
      </c>
      <c r="F49" s="50">
        <v>50</v>
      </c>
      <c r="G49" s="50">
        <v>120</v>
      </c>
      <c r="H49" s="50">
        <v>150</v>
      </c>
      <c r="I49" s="50">
        <v>110</v>
      </c>
      <c r="J49" s="50">
        <v>70</v>
      </c>
      <c r="K49" s="50">
        <v>110</v>
      </c>
      <c r="L49" s="50">
        <v>100</v>
      </c>
      <c r="M49" s="50">
        <v>100</v>
      </c>
      <c r="N49" s="70">
        <v>70</v>
      </c>
      <c r="O49" s="70">
        <v>50</v>
      </c>
      <c r="P49" s="50">
        <v>50</v>
      </c>
      <c r="Q49" s="50">
        <v>60</v>
      </c>
      <c r="R49" s="50">
        <v>60</v>
      </c>
      <c r="S49" s="50">
        <v>60</v>
      </c>
      <c r="T49" s="50">
        <v>60</v>
      </c>
      <c r="U49" s="50">
        <v>60</v>
      </c>
      <c r="V49" s="50">
        <v>60</v>
      </c>
      <c r="W49" s="50">
        <v>20</v>
      </c>
      <c r="X49" s="50">
        <v>20</v>
      </c>
      <c r="Y49" s="50">
        <v>20</v>
      </c>
      <c r="Z49" s="50">
        <v>50</v>
      </c>
      <c r="AA49" s="50">
        <v>50</v>
      </c>
      <c r="AB49" s="50">
        <v>80</v>
      </c>
      <c r="AC49" s="50">
        <v>80</v>
      </c>
      <c r="AD49" s="50">
        <v>80</v>
      </c>
      <c r="AE49" s="50">
        <v>80</v>
      </c>
      <c r="AF49" s="50">
        <v>85</v>
      </c>
      <c r="AG49" s="56">
        <v>456</v>
      </c>
      <c r="AH49" s="52">
        <f t="shared" si="2"/>
        <v>150</v>
      </c>
      <c r="AI49" s="53">
        <f t="shared" si="3"/>
        <v>20</v>
      </c>
      <c r="AK49" s="54"/>
    </row>
    <row r="50" spans="1:41" x14ac:dyDescent="0.25">
      <c r="A50" s="71" t="s">
        <v>58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29</v>
      </c>
      <c r="N50" s="72">
        <v>30</v>
      </c>
      <c r="O50" s="72">
        <v>30</v>
      </c>
      <c r="P50" s="72">
        <v>30</v>
      </c>
      <c r="Q50" s="72">
        <v>30</v>
      </c>
      <c r="R50" s="72">
        <v>30</v>
      </c>
      <c r="S50" s="72">
        <v>30</v>
      </c>
      <c r="T50" s="72">
        <v>30</v>
      </c>
      <c r="U50" s="72">
        <v>30</v>
      </c>
      <c r="V50" s="72">
        <v>30</v>
      </c>
      <c r="W50" s="72">
        <v>30</v>
      </c>
      <c r="X50" s="72">
        <v>30</v>
      </c>
      <c r="Y50" s="72">
        <v>30</v>
      </c>
      <c r="Z50" s="72">
        <v>30</v>
      </c>
      <c r="AA50" s="72">
        <v>30</v>
      </c>
      <c r="AB50" s="72">
        <v>30</v>
      </c>
      <c r="AC50" s="72">
        <v>30</v>
      </c>
      <c r="AD50" s="72">
        <v>30</v>
      </c>
      <c r="AE50" s="72">
        <v>30</v>
      </c>
      <c r="AF50" s="72">
        <v>30</v>
      </c>
      <c r="AG50" s="61">
        <v>60</v>
      </c>
      <c r="AH50" s="52">
        <f t="shared" si="2"/>
        <v>30</v>
      </c>
      <c r="AI50" s="53">
        <f t="shared" si="3"/>
        <v>25</v>
      </c>
      <c r="AK50" s="54"/>
    </row>
    <row r="51" spans="1:41" ht="15.75" thickBot="1" x14ac:dyDescent="0.3">
      <c r="A51" s="73" t="s">
        <v>59</v>
      </c>
      <c r="B51" s="74">
        <v>11.2</v>
      </c>
      <c r="C51" s="74">
        <v>11.7</v>
      </c>
      <c r="D51" s="74">
        <v>11.7</v>
      </c>
      <c r="E51" s="74">
        <v>11.7</v>
      </c>
      <c r="F51" s="74">
        <v>11.7</v>
      </c>
      <c r="G51" s="74">
        <v>11.7</v>
      </c>
      <c r="H51" s="74">
        <v>11.7</v>
      </c>
      <c r="I51" s="74">
        <v>11.7</v>
      </c>
      <c r="J51" s="74">
        <v>11.7</v>
      </c>
      <c r="K51" s="74">
        <v>11.7</v>
      </c>
      <c r="L51" s="74">
        <v>11.7</v>
      </c>
      <c r="M51" s="74">
        <v>11.7</v>
      </c>
      <c r="N51" s="74">
        <v>11.7</v>
      </c>
      <c r="O51" s="74">
        <v>11.7</v>
      </c>
      <c r="P51" s="74">
        <v>11.7</v>
      </c>
      <c r="Q51" s="74">
        <v>11.7</v>
      </c>
      <c r="R51" s="74">
        <v>11.7</v>
      </c>
      <c r="S51" s="74">
        <v>11.7</v>
      </c>
      <c r="T51" s="74">
        <v>11.7</v>
      </c>
      <c r="U51" s="74">
        <v>11.7</v>
      </c>
      <c r="V51" s="74">
        <v>11.7</v>
      </c>
      <c r="W51" s="74">
        <v>11.7</v>
      </c>
      <c r="X51" s="74">
        <v>11.7</v>
      </c>
      <c r="Y51" s="74">
        <v>11.7</v>
      </c>
      <c r="Z51" s="74">
        <v>11.7</v>
      </c>
      <c r="AA51" s="74">
        <v>11.7</v>
      </c>
      <c r="AB51" s="74">
        <v>11.7</v>
      </c>
      <c r="AC51" s="74">
        <v>11.7</v>
      </c>
      <c r="AD51" s="74">
        <v>11.7</v>
      </c>
      <c r="AE51" s="74">
        <v>11.7</v>
      </c>
      <c r="AF51" s="74">
        <v>11.7</v>
      </c>
      <c r="AG51" s="75">
        <v>22.1</v>
      </c>
      <c r="AH51" s="52">
        <f t="shared" si="2"/>
        <v>11.7</v>
      </c>
      <c r="AI51" s="53">
        <f t="shared" si="3"/>
        <v>11.2</v>
      </c>
      <c r="AK51" s="54"/>
    </row>
    <row r="52" spans="1:41" ht="15.75" thickBot="1" x14ac:dyDescent="0.3">
      <c r="A52" s="76" t="s">
        <v>60</v>
      </c>
      <c r="B52" s="67">
        <f t="shared" ref="B52:AG52" si="7">SUM(B49:B51)</f>
        <v>76.2</v>
      </c>
      <c r="C52" s="67">
        <f t="shared" si="7"/>
        <v>129</v>
      </c>
      <c r="D52" s="67">
        <f t="shared" si="7"/>
        <v>129</v>
      </c>
      <c r="E52" s="67">
        <f t="shared" si="7"/>
        <v>86.7</v>
      </c>
      <c r="F52" s="67">
        <f t="shared" si="7"/>
        <v>86.7</v>
      </c>
      <c r="G52" s="67">
        <f t="shared" si="7"/>
        <v>156.69999999999999</v>
      </c>
      <c r="H52" s="67">
        <f t="shared" si="7"/>
        <v>186.7</v>
      </c>
      <c r="I52" s="67">
        <f t="shared" si="7"/>
        <v>146.69999999999999</v>
      </c>
      <c r="J52" s="67">
        <f t="shared" si="7"/>
        <v>106.7</v>
      </c>
      <c r="K52" s="67">
        <f t="shared" si="7"/>
        <v>146.69999999999999</v>
      </c>
      <c r="L52" s="67">
        <f t="shared" si="7"/>
        <v>136.69999999999999</v>
      </c>
      <c r="M52" s="67">
        <f t="shared" si="7"/>
        <v>140.69999999999999</v>
      </c>
      <c r="N52" s="67">
        <f t="shared" si="7"/>
        <v>111.7</v>
      </c>
      <c r="O52" s="67">
        <f t="shared" si="7"/>
        <v>91.7</v>
      </c>
      <c r="P52" s="67">
        <f t="shared" si="7"/>
        <v>91.7</v>
      </c>
      <c r="Q52" s="67">
        <f t="shared" si="7"/>
        <v>101.7</v>
      </c>
      <c r="R52" s="67">
        <f t="shared" si="7"/>
        <v>101.7</v>
      </c>
      <c r="S52" s="67">
        <f t="shared" si="7"/>
        <v>101.7</v>
      </c>
      <c r="T52" s="67">
        <f t="shared" si="7"/>
        <v>101.7</v>
      </c>
      <c r="U52" s="67">
        <f t="shared" si="7"/>
        <v>101.7</v>
      </c>
      <c r="V52" s="67">
        <f t="shared" si="7"/>
        <v>101.7</v>
      </c>
      <c r="W52" s="67">
        <f t="shared" si="7"/>
        <v>61.7</v>
      </c>
      <c r="X52" s="67">
        <f t="shared" si="7"/>
        <v>61.7</v>
      </c>
      <c r="Y52" s="67">
        <f t="shared" si="7"/>
        <v>61.7</v>
      </c>
      <c r="Z52" s="67">
        <f t="shared" si="7"/>
        <v>91.7</v>
      </c>
      <c r="AA52" s="67">
        <f t="shared" si="7"/>
        <v>91.7</v>
      </c>
      <c r="AB52" s="67">
        <f t="shared" ref="AB52:AC52" si="8">SUM(AB49:AB51)</f>
        <v>121.7</v>
      </c>
      <c r="AC52" s="67">
        <f t="shared" si="8"/>
        <v>121.7</v>
      </c>
      <c r="AD52" s="67">
        <f t="shared" si="7"/>
        <v>121.7</v>
      </c>
      <c r="AE52" s="67">
        <f t="shared" si="7"/>
        <v>121.7</v>
      </c>
      <c r="AF52" s="67">
        <f t="shared" si="7"/>
        <v>126.7</v>
      </c>
      <c r="AG52" s="68">
        <f t="shared" si="7"/>
        <v>538.1</v>
      </c>
      <c r="AH52" s="52">
        <f t="shared" si="2"/>
        <v>186.7</v>
      </c>
      <c r="AI52" s="53">
        <f t="shared" si="3"/>
        <v>61.7</v>
      </c>
      <c r="AK52" s="54"/>
    </row>
    <row r="53" spans="1:41" x14ac:dyDescent="0.25">
      <c r="A53" s="49" t="s">
        <v>61</v>
      </c>
      <c r="B53" s="50">
        <v>35</v>
      </c>
      <c r="C53" s="50">
        <v>48.9</v>
      </c>
      <c r="D53" s="50">
        <v>30</v>
      </c>
      <c r="E53" s="50">
        <v>30.6</v>
      </c>
      <c r="F53" s="50">
        <v>28.9</v>
      </c>
      <c r="G53" s="50">
        <v>46.1</v>
      </c>
      <c r="H53" s="50">
        <v>40.700000000000003</v>
      </c>
      <c r="I53" s="50">
        <v>40.799999999999997</v>
      </c>
      <c r="J53" s="50">
        <v>30.7</v>
      </c>
      <c r="K53" s="50">
        <v>30.7</v>
      </c>
      <c r="L53" s="50">
        <v>49.1</v>
      </c>
      <c r="M53" s="50">
        <v>47.9</v>
      </c>
      <c r="N53" s="50">
        <v>47.9</v>
      </c>
      <c r="O53" s="50">
        <v>47.9</v>
      </c>
      <c r="P53" s="50">
        <v>47.9</v>
      </c>
      <c r="Q53" s="50">
        <v>80</v>
      </c>
      <c r="R53" s="50">
        <v>63</v>
      </c>
      <c r="S53" s="50">
        <v>81</v>
      </c>
      <c r="T53" s="50">
        <v>81.400000000000006</v>
      </c>
      <c r="U53" s="50">
        <v>97.6</v>
      </c>
      <c r="V53" s="50">
        <v>97.6</v>
      </c>
      <c r="W53" s="50">
        <v>61.2</v>
      </c>
      <c r="X53" s="50">
        <v>61.2</v>
      </c>
      <c r="Y53" s="50">
        <v>61.2</v>
      </c>
      <c r="Z53" s="50">
        <v>95</v>
      </c>
      <c r="AA53" s="50">
        <v>97</v>
      </c>
      <c r="AB53" s="50">
        <v>86.5</v>
      </c>
      <c r="AC53" s="50">
        <v>86.5</v>
      </c>
      <c r="AD53" s="50">
        <v>71</v>
      </c>
      <c r="AE53" s="50">
        <v>45</v>
      </c>
      <c r="AF53" s="50">
        <v>48</v>
      </c>
      <c r="AG53" s="56">
        <v>144</v>
      </c>
      <c r="AH53" s="52">
        <f t="shared" si="2"/>
        <v>97.6</v>
      </c>
      <c r="AI53" s="53">
        <f t="shared" si="3"/>
        <v>28.9</v>
      </c>
      <c r="AK53" s="54"/>
    </row>
    <row r="54" spans="1:41" x14ac:dyDescent="0.25">
      <c r="A54" s="60" t="s">
        <v>62</v>
      </c>
      <c r="B54" s="72">
        <v>21.9</v>
      </c>
      <c r="C54" s="72">
        <v>0</v>
      </c>
      <c r="D54" s="72">
        <v>0</v>
      </c>
      <c r="E54" s="72">
        <v>0</v>
      </c>
      <c r="F54" s="72">
        <v>34.799999999999997</v>
      </c>
      <c r="G54" s="72">
        <v>29.7</v>
      </c>
      <c r="H54" s="72">
        <v>25.8</v>
      </c>
      <c r="I54" s="72">
        <v>51.1</v>
      </c>
      <c r="J54" s="72">
        <v>70</v>
      </c>
      <c r="K54" s="72">
        <v>55</v>
      </c>
      <c r="L54" s="72">
        <v>56</v>
      </c>
      <c r="M54" s="72">
        <v>58</v>
      </c>
      <c r="N54" s="72">
        <v>56.5</v>
      </c>
      <c r="O54" s="72">
        <v>56.5</v>
      </c>
      <c r="P54" s="72">
        <v>50.1</v>
      </c>
      <c r="Q54" s="72">
        <v>51.7</v>
      </c>
      <c r="R54" s="72">
        <v>25.7</v>
      </c>
      <c r="S54" s="72">
        <v>25.7</v>
      </c>
      <c r="T54" s="50">
        <v>20.7</v>
      </c>
      <c r="U54" s="50">
        <v>25</v>
      </c>
      <c r="V54" s="50">
        <v>25</v>
      </c>
      <c r="W54" s="50">
        <v>25</v>
      </c>
      <c r="X54" s="50">
        <v>22</v>
      </c>
      <c r="Y54" s="50">
        <v>22</v>
      </c>
      <c r="Z54" s="50">
        <v>22</v>
      </c>
      <c r="AA54" s="50">
        <v>34.200000000000003</v>
      </c>
      <c r="AB54" s="50">
        <v>21.6</v>
      </c>
      <c r="AC54" s="50">
        <v>21.6</v>
      </c>
      <c r="AD54" s="72">
        <v>22</v>
      </c>
      <c r="AE54" s="72">
        <v>22</v>
      </c>
      <c r="AF54" s="72">
        <v>22</v>
      </c>
      <c r="AG54" s="61">
        <v>70</v>
      </c>
      <c r="AH54" s="52">
        <f t="shared" si="2"/>
        <v>70</v>
      </c>
      <c r="AI54" s="53">
        <f t="shared" si="3"/>
        <v>0</v>
      </c>
      <c r="AK54" s="54"/>
    </row>
    <row r="55" spans="1:41" x14ac:dyDescent="0.25">
      <c r="A55" s="60" t="s">
        <v>63</v>
      </c>
      <c r="B55" s="72">
        <v>45.3</v>
      </c>
      <c r="C55" s="72">
        <v>16.600000000000001</v>
      </c>
      <c r="D55" s="72">
        <v>23</v>
      </c>
      <c r="E55" s="72">
        <v>16.7</v>
      </c>
      <c r="F55" s="72">
        <v>0</v>
      </c>
      <c r="G55" s="72">
        <v>0</v>
      </c>
      <c r="H55" s="72">
        <v>15.8</v>
      </c>
      <c r="I55" s="72">
        <v>15.5</v>
      </c>
      <c r="J55" s="72">
        <v>32.700000000000003</v>
      </c>
      <c r="K55" s="72">
        <v>32</v>
      </c>
      <c r="L55" s="72">
        <v>43.4</v>
      </c>
      <c r="M55" s="72">
        <v>45.5</v>
      </c>
      <c r="N55" s="72">
        <v>21.3</v>
      </c>
      <c r="O55" s="72">
        <v>21.3</v>
      </c>
      <c r="P55" s="72">
        <v>35.5</v>
      </c>
      <c r="Q55" s="72">
        <v>35.299999999999997</v>
      </c>
      <c r="R55" s="72">
        <v>33.9</v>
      </c>
      <c r="S55" s="72">
        <v>33.9</v>
      </c>
      <c r="T55" s="50">
        <v>44.1</v>
      </c>
      <c r="U55" s="50">
        <v>40.200000000000003</v>
      </c>
      <c r="V55" s="50">
        <v>35.6</v>
      </c>
      <c r="W55" s="50">
        <v>35.6</v>
      </c>
      <c r="X55" s="50">
        <v>0</v>
      </c>
      <c r="Y55" s="50">
        <v>35.4</v>
      </c>
      <c r="Z55" s="50">
        <v>52.6</v>
      </c>
      <c r="AA55" s="50">
        <v>65.599999999999994</v>
      </c>
      <c r="AB55" s="50">
        <v>53</v>
      </c>
      <c r="AC55" s="50">
        <v>53</v>
      </c>
      <c r="AD55" s="72">
        <v>53</v>
      </c>
      <c r="AE55" s="72">
        <v>36</v>
      </c>
      <c r="AF55" s="72">
        <v>19</v>
      </c>
      <c r="AG55" s="61">
        <v>69</v>
      </c>
      <c r="AH55" s="52">
        <f t="shared" si="2"/>
        <v>65.599999999999994</v>
      </c>
      <c r="AI55" s="53">
        <f t="shared" si="3"/>
        <v>0</v>
      </c>
      <c r="AK55" s="54"/>
    </row>
    <row r="56" spans="1:41" x14ac:dyDescent="0.25">
      <c r="A56" s="60" t="s">
        <v>64</v>
      </c>
      <c r="B56" s="72">
        <v>38.299999999999997</v>
      </c>
      <c r="C56" s="72">
        <v>38.299999999999997</v>
      </c>
      <c r="D56" s="72">
        <v>38.299999999999997</v>
      </c>
      <c r="E56" s="63">
        <v>40</v>
      </c>
      <c r="F56" s="63">
        <v>40</v>
      </c>
      <c r="G56" s="63">
        <v>40</v>
      </c>
      <c r="H56" s="63">
        <v>39.1</v>
      </c>
      <c r="I56" s="63">
        <v>38.299999999999997</v>
      </c>
      <c r="J56" s="63">
        <v>38.299999999999997</v>
      </c>
      <c r="K56" s="63">
        <v>38.299999999999997</v>
      </c>
      <c r="L56" s="63">
        <v>38.299999999999997</v>
      </c>
      <c r="M56" s="63">
        <v>38.299999999999997</v>
      </c>
      <c r="N56" s="63">
        <v>38.299999999999997</v>
      </c>
      <c r="O56" s="63">
        <v>38.299999999999997</v>
      </c>
      <c r="P56" s="63">
        <v>38</v>
      </c>
      <c r="Q56" s="72">
        <v>38.299999999999997</v>
      </c>
      <c r="R56" s="72">
        <v>37.299999999999997</v>
      </c>
      <c r="S56" s="72">
        <v>37.299999999999997</v>
      </c>
      <c r="T56" s="50">
        <v>37.299999999999997</v>
      </c>
      <c r="U56" s="50">
        <v>37.299999999999997</v>
      </c>
      <c r="V56" s="50">
        <v>37.299999999999997</v>
      </c>
      <c r="W56" s="50">
        <v>38</v>
      </c>
      <c r="X56" s="50">
        <v>38</v>
      </c>
      <c r="Y56" s="50">
        <v>38</v>
      </c>
      <c r="Z56" s="50">
        <v>38</v>
      </c>
      <c r="AA56" s="50">
        <v>38</v>
      </c>
      <c r="AB56" s="50">
        <v>38</v>
      </c>
      <c r="AC56" s="50">
        <v>38</v>
      </c>
      <c r="AD56" s="50">
        <v>38</v>
      </c>
      <c r="AE56" s="50">
        <v>38</v>
      </c>
      <c r="AF56" s="50">
        <v>38</v>
      </c>
      <c r="AG56" s="61">
        <v>60</v>
      </c>
      <c r="AH56" s="52">
        <f t="shared" si="2"/>
        <v>40</v>
      </c>
      <c r="AI56" s="53">
        <f t="shared" si="3"/>
        <v>37.299999999999997</v>
      </c>
      <c r="AK56" s="54"/>
    </row>
    <row r="57" spans="1:41" x14ac:dyDescent="0.25">
      <c r="A57" s="60" t="s">
        <v>65</v>
      </c>
      <c r="B57" s="72">
        <v>0</v>
      </c>
      <c r="C57" s="72">
        <v>0</v>
      </c>
      <c r="D57" s="72">
        <v>0</v>
      </c>
      <c r="E57" s="63">
        <v>0</v>
      </c>
      <c r="F57" s="63">
        <v>0</v>
      </c>
      <c r="G57" s="63">
        <v>0</v>
      </c>
      <c r="H57" s="63">
        <v>15</v>
      </c>
      <c r="I57" s="63">
        <v>10</v>
      </c>
      <c r="J57" s="63">
        <v>10</v>
      </c>
      <c r="K57" s="63">
        <v>10</v>
      </c>
      <c r="L57" s="63">
        <v>10</v>
      </c>
      <c r="M57" s="63">
        <v>15</v>
      </c>
      <c r="N57" s="63">
        <v>14.9</v>
      </c>
      <c r="O57" s="63">
        <v>14.9</v>
      </c>
      <c r="P57" s="63">
        <v>9.3000000000000007</v>
      </c>
      <c r="Q57" s="72">
        <v>14.6</v>
      </c>
      <c r="R57" s="72">
        <v>14.6</v>
      </c>
      <c r="S57" s="72">
        <v>24</v>
      </c>
      <c r="T57" s="50">
        <v>20</v>
      </c>
      <c r="U57" s="50">
        <v>25.2</v>
      </c>
      <c r="V57" s="50">
        <v>20</v>
      </c>
      <c r="W57" s="50">
        <v>0</v>
      </c>
      <c r="X57" s="50">
        <v>0</v>
      </c>
      <c r="Y57" s="50">
        <v>0</v>
      </c>
      <c r="Z57" s="50">
        <v>10</v>
      </c>
      <c r="AA57" s="50">
        <v>10</v>
      </c>
      <c r="AB57" s="50">
        <v>10</v>
      </c>
      <c r="AC57" s="50">
        <v>0</v>
      </c>
      <c r="AD57" s="50">
        <v>0</v>
      </c>
      <c r="AE57" s="50">
        <v>0</v>
      </c>
      <c r="AF57" s="50">
        <v>0</v>
      </c>
      <c r="AG57" s="61">
        <v>30</v>
      </c>
      <c r="AH57" s="52">
        <f t="shared" si="2"/>
        <v>25.2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13.2</v>
      </c>
      <c r="C58" s="72">
        <v>0</v>
      </c>
      <c r="D58" s="72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2.6</v>
      </c>
      <c r="N58" s="50">
        <v>3.2</v>
      </c>
      <c r="O58" s="50">
        <v>3.2</v>
      </c>
      <c r="P58" s="50">
        <v>2.5</v>
      </c>
      <c r="Q58" s="72">
        <v>2.4</v>
      </c>
      <c r="R58" s="72">
        <v>1.6</v>
      </c>
      <c r="S58" s="72">
        <v>1.6</v>
      </c>
      <c r="T58" s="50">
        <v>3</v>
      </c>
      <c r="U58" s="50">
        <v>2.5</v>
      </c>
      <c r="V58" s="50">
        <v>1.2</v>
      </c>
      <c r="W58" s="50">
        <v>0.9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13.2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12</v>
      </c>
      <c r="C59" s="72">
        <v>12</v>
      </c>
      <c r="D59" s="72">
        <v>12</v>
      </c>
      <c r="E59" s="72">
        <v>12</v>
      </c>
      <c r="F59" s="72">
        <v>12</v>
      </c>
      <c r="G59" s="72">
        <v>12</v>
      </c>
      <c r="H59" s="72">
        <v>12</v>
      </c>
      <c r="I59" s="72">
        <v>12</v>
      </c>
      <c r="J59" s="72">
        <v>12</v>
      </c>
      <c r="K59" s="72">
        <v>12</v>
      </c>
      <c r="L59" s="72">
        <v>12</v>
      </c>
      <c r="M59" s="72">
        <v>12</v>
      </c>
      <c r="N59" s="72">
        <v>12</v>
      </c>
      <c r="O59" s="72">
        <v>12</v>
      </c>
      <c r="P59" s="72">
        <v>12</v>
      </c>
      <c r="Q59" s="72">
        <v>12</v>
      </c>
      <c r="R59" s="72">
        <v>12</v>
      </c>
      <c r="S59" s="72">
        <v>12</v>
      </c>
      <c r="T59" s="72">
        <v>12</v>
      </c>
      <c r="U59" s="72">
        <v>12</v>
      </c>
      <c r="V59" s="72">
        <v>12</v>
      </c>
      <c r="W59" s="72">
        <v>12</v>
      </c>
      <c r="X59" s="72">
        <v>12</v>
      </c>
      <c r="Y59" s="72">
        <v>12</v>
      </c>
      <c r="Z59" s="72">
        <v>12</v>
      </c>
      <c r="AA59" s="72">
        <v>12</v>
      </c>
      <c r="AB59" s="72">
        <v>12</v>
      </c>
      <c r="AC59" s="72">
        <v>12</v>
      </c>
      <c r="AD59" s="72">
        <v>12</v>
      </c>
      <c r="AE59" s="72">
        <v>12</v>
      </c>
      <c r="AF59" s="72">
        <v>12</v>
      </c>
      <c r="AG59" s="61">
        <v>24</v>
      </c>
      <c r="AH59" s="52">
        <f t="shared" si="2"/>
        <v>12</v>
      </c>
      <c r="AI59" s="53">
        <f t="shared" si="3"/>
        <v>12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9.5</v>
      </c>
      <c r="C61" s="72">
        <v>9.5</v>
      </c>
      <c r="D61" s="72">
        <v>9.5</v>
      </c>
      <c r="E61" s="72">
        <v>9.5</v>
      </c>
      <c r="F61" s="72">
        <v>9.5</v>
      </c>
      <c r="G61" s="72">
        <v>9.5</v>
      </c>
      <c r="H61" s="72">
        <v>9.5</v>
      </c>
      <c r="I61" s="72">
        <v>9.5</v>
      </c>
      <c r="J61" s="72">
        <v>9.5</v>
      </c>
      <c r="K61" s="72">
        <v>9.5</v>
      </c>
      <c r="L61" s="72">
        <v>9.5</v>
      </c>
      <c r="M61" s="72">
        <v>9.5</v>
      </c>
      <c r="N61" s="72">
        <v>9.5</v>
      </c>
      <c r="O61" s="72">
        <v>9.5</v>
      </c>
      <c r="P61" s="72">
        <v>10.199999999999999</v>
      </c>
      <c r="Q61" s="72">
        <v>9.6999999999999993</v>
      </c>
      <c r="R61" s="72">
        <v>9.6999999999999993</v>
      </c>
      <c r="S61" s="72">
        <v>9.6999999999999993</v>
      </c>
      <c r="T61" s="72">
        <v>9.6999999999999993</v>
      </c>
      <c r="U61" s="72">
        <v>9.6999999999999993</v>
      </c>
      <c r="V61" s="72">
        <v>9.6999999999999993</v>
      </c>
      <c r="W61" s="72">
        <v>9.6999999999999993</v>
      </c>
      <c r="X61" s="72">
        <v>9.6999999999999993</v>
      </c>
      <c r="Y61" s="72">
        <v>9.6999999999999993</v>
      </c>
      <c r="Z61" s="72">
        <v>9.6999999999999993</v>
      </c>
      <c r="AA61" s="72">
        <v>9.6999999999999993</v>
      </c>
      <c r="AB61" s="72">
        <v>9.6999999999999993</v>
      </c>
      <c r="AC61" s="72">
        <v>9.6999999999999993</v>
      </c>
      <c r="AD61" s="72">
        <v>9.6999999999999993</v>
      </c>
      <c r="AE61" s="72">
        <v>9.6999999999999993</v>
      </c>
      <c r="AF61" s="72">
        <v>9.6999999999999993</v>
      </c>
      <c r="AG61" s="61">
        <v>14.1</v>
      </c>
      <c r="AH61" s="52">
        <f t="shared" si="2"/>
        <v>10.199999999999999</v>
      </c>
      <c r="AI61" s="53">
        <f t="shared" si="3"/>
        <v>9.5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4.8</v>
      </c>
      <c r="C62" s="72">
        <v>4.8</v>
      </c>
      <c r="D62" s="72">
        <v>4.8</v>
      </c>
      <c r="E62" s="72">
        <v>4.8</v>
      </c>
      <c r="F62" s="72">
        <v>4.8</v>
      </c>
      <c r="G62" s="72">
        <v>4.8</v>
      </c>
      <c r="H62" s="72">
        <v>4.8</v>
      </c>
      <c r="I62" s="72">
        <v>4.8</v>
      </c>
      <c r="J62" s="72">
        <v>4.8</v>
      </c>
      <c r="K62" s="72">
        <v>4.8</v>
      </c>
      <c r="L62" s="72">
        <v>4.8</v>
      </c>
      <c r="M62" s="72">
        <v>4.8</v>
      </c>
      <c r="N62" s="72">
        <v>4.8</v>
      </c>
      <c r="O62" s="72">
        <v>4.8</v>
      </c>
      <c r="P62" s="72">
        <v>5.9</v>
      </c>
      <c r="Q62" s="72">
        <v>5.7</v>
      </c>
      <c r="R62" s="72">
        <v>5.7</v>
      </c>
      <c r="S62" s="72">
        <v>4.7</v>
      </c>
      <c r="T62" s="72">
        <v>4.7</v>
      </c>
      <c r="U62" s="72">
        <v>4.7</v>
      </c>
      <c r="V62" s="72">
        <v>4.7</v>
      </c>
      <c r="W62" s="72">
        <v>4.4000000000000004</v>
      </c>
      <c r="X62" s="72">
        <v>4.4000000000000004</v>
      </c>
      <c r="Y62" s="72">
        <v>4.4000000000000004</v>
      </c>
      <c r="Z62" s="72">
        <v>6.8</v>
      </c>
      <c r="AA62" s="72">
        <v>6.8</v>
      </c>
      <c r="AB62" s="72">
        <v>6.8</v>
      </c>
      <c r="AC62" s="72">
        <v>6.8</v>
      </c>
      <c r="AD62" s="72">
        <v>6.8</v>
      </c>
      <c r="AE62" s="72">
        <v>6.8</v>
      </c>
      <c r="AF62" s="72">
        <v>6.8</v>
      </c>
      <c r="AG62" s="61">
        <v>14</v>
      </c>
      <c r="AH62" s="52">
        <f t="shared" si="2"/>
        <v>6.8</v>
      </c>
      <c r="AI62" s="53">
        <f t="shared" si="3"/>
        <v>4.4000000000000004</v>
      </c>
      <c r="AK62" s="54"/>
    </row>
    <row r="63" spans="1:41" x14ac:dyDescent="0.25">
      <c r="A63" s="60" t="s">
        <v>71</v>
      </c>
      <c r="B63" s="72">
        <v>3</v>
      </c>
      <c r="C63" s="72">
        <v>3</v>
      </c>
      <c r="D63" s="72">
        <v>3</v>
      </c>
      <c r="E63" s="72">
        <v>3</v>
      </c>
      <c r="F63" s="72">
        <v>3</v>
      </c>
      <c r="G63" s="72">
        <v>3</v>
      </c>
      <c r="H63" s="72">
        <v>3</v>
      </c>
      <c r="I63" s="72">
        <v>3</v>
      </c>
      <c r="J63" s="72">
        <v>3</v>
      </c>
      <c r="K63" s="72">
        <v>3</v>
      </c>
      <c r="L63" s="72">
        <v>3</v>
      </c>
      <c r="M63" s="72">
        <v>3</v>
      </c>
      <c r="N63" s="72">
        <v>3</v>
      </c>
      <c r="O63" s="72">
        <v>3</v>
      </c>
      <c r="P63" s="72">
        <v>3</v>
      </c>
      <c r="Q63" s="72">
        <v>3</v>
      </c>
      <c r="R63" s="72">
        <v>3</v>
      </c>
      <c r="S63" s="72">
        <v>3</v>
      </c>
      <c r="T63" s="72">
        <v>3</v>
      </c>
      <c r="U63" s="72">
        <v>3</v>
      </c>
      <c r="V63" s="72">
        <v>3</v>
      </c>
      <c r="W63" s="72">
        <v>3</v>
      </c>
      <c r="X63" s="72">
        <v>3</v>
      </c>
      <c r="Y63" s="72">
        <v>3</v>
      </c>
      <c r="Z63" s="72">
        <v>3</v>
      </c>
      <c r="AA63" s="72">
        <v>3</v>
      </c>
      <c r="AB63" s="72">
        <v>3</v>
      </c>
      <c r="AC63" s="72">
        <v>3</v>
      </c>
      <c r="AD63" s="72">
        <v>3</v>
      </c>
      <c r="AE63" s="72">
        <v>3</v>
      </c>
      <c r="AF63" s="72">
        <v>3</v>
      </c>
      <c r="AG63" s="61">
        <v>10.050000000000001</v>
      </c>
      <c r="AH63" s="52">
        <f t="shared" si="2"/>
        <v>3</v>
      </c>
      <c r="AI63" s="53">
        <f t="shared" si="3"/>
        <v>3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:AG66" si="9">SUM(B53:B65)</f>
        <v>188.54</v>
      </c>
      <c r="C66" s="67">
        <f t="shared" si="9"/>
        <v>138.63999999999999</v>
      </c>
      <c r="D66" s="67">
        <f t="shared" si="9"/>
        <v>126.14</v>
      </c>
      <c r="E66" s="67">
        <f t="shared" si="9"/>
        <v>122.14</v>
      </c>
      <c r="F66" s="67">
        <f t="shared" si="9"/>
        <v>138.54</v>
      </c>
      <c r="G66" s="67">
        <f t="shared" si="9"/>
        <v>150.64000000000001</v>
      </c>
      <c r="H66" s="67">
        <f t="shared" si="9"/>
        <v>171.24</v>
      </c>
      <c r="I66" s="67">
        <f t="shared" si="9"/>
        <v>190.54</v>
      </c>
      <c r="J66" s="67">
        <f t="shared" si="9"/>
        <v>216.54</v>
      </c>
      <c r="K66" s="67">
        <f t="shared" si="9"/>
        <v>200.84</v>
      </c>
      <c r="L66" s="67">
        <f t="shared" si="9"/>
        <v>231.64000000000001</v>
      </c>
      <c r="M66" s="67">
        <f t="shared" si="9"/>
        <v>242.14</v>
      </c>
      <c r="N66" s="67">
        <f t="shared" si="9"/>
        <v>216.94</v>
      </c>
      <c r="O66" s="67">
        <f t="shared" si="9"/>
        <v>216.94</v>
      </c>
      <c r="P66" s="67">
        <f t="shared" si="9"/>
        <v>219.94</v>
      </c>
      <c r="Q66" s="67">
        <f t="shared" si="9"/>
        <v>258.24</v>
      </c>
      <c r="R66" s="67">
        <f t="shared" si="9"/>
        <v>212.03999999999994</v>
      </c>
      <c r="S66" s="67">
        <f t="shared" si="9"/>
        <v>238.43999999999994</v>
      </c>
      <c r="T66" s="67">
        <f t="shared" si="9"/>
        <v>241.43999999999997</v>
      </c>
      <c r="U66" s="67">
        <f t="shared" si="9"/>
        <v>262.74</v>
      </c>
      <c r="V66" s="67">
        <f t="shared" si="9"/>
        <v>251.63999999999996</v>
      </c>
      <c r="W66" s="67">
        <f t="shared" si="9"/>
        <v>195.34</v>
      </c>
      <c r="X66" s="67">
        <f t="shared" si="9"/>
        <v>155.83999999999997</v>
      </c>
      <c r="Y66" s="67">
        <f t="shared" si="9"/>
        <v>191.23999999999998</v>
      </c>
      <c r="Z66" s="67">
        <f t="shared" si="9"/>
        <v>254.64</v>
      </c>
      <c r="AA66" s="67">
        <f t="shared" si="9"/>
        <v>281.83999999999997</v>
      </c>
      <c r="AB66" s="67">
        <f t="shared" ref="AB66" si="10">SUM(AB53:AB65)</f>
        <v>246.14</v>
      </c>
      <c r="AC66" s="67">
        <f t="shared" si="9"/>
        <v>236.14</v>
      </c>
      <c r="AD66" s="67">
        <f t="shared" si="9"/>
        <v>221.04</v>
      </c>
      <c r="AE66" s="67">
        <f t="shared" si="9"/>
        <v>178.04</v>
      </c>
      <c r="AF66" s="67">
        <f t="shared" si="9"/>
        <v>164.04</v>
      </c>
      <c r="AG66" s="68">
        <f t="shared" si="9"/>
        <v>489.91</v>
      </c>
      <c r="AH66" s="52">
        <f t="shared" si="2"/>
        <v>281.83999999999997</v>
      </c>
      <c r="AI66" s="53">
        <f t="shared" si="3"/>
        <v>122.14</v>
      </c>
      <c r="AK66" s="54"/>
    </row>
    <row r="67" spans="1:40" x14ac:dyDescent="0.25">
      <c r="A67" s="49" t="s">
        <v>75</v>
      </c>
      <c r="B67" s="50">
        <v>40</v>
      </c>
      <c r="C67" s="50">
        <v>40</v>
      </c>
      <c r="D67" s="50">
        <v>40</v>
      </c>
      <c r="E67" s="50">
        <v>60</v>
      </c>
      <c r="F67" s="50">
        <v>60</v>
      </c>
      <c r="G67" s="50">
        <v>60</v>
      </c>
      <c r="H67" s="50">
        <v>60</v>
      </c>
      <c r="I67" s="50">
        <v>60</v>
      </c>
      <c r="J67" s="50">
        <v>60</v>
      </c>
      <c r="K67" s="50">
        <v>60</v>
      </c>
      <c r="L67" s="50">
        <v>60</v>
      </c>
      <c r="M67" s="50">
        <v>60</v>
      </c>
      <c r="N67" s="50">
        <v>60</v>
      </c>
      <c r="O67" s="50">
        <v>60</v>
      </c>
      <c r="P67" s="50">
        <v>60</v>
      </c>
      <c r="Q67" s="50">
        <v>60</v>
      </c>
      <c r="R67" s="50">
        <v>50</v>
      </c>
      <c r="S67" s="50">
        <v>60</v>
      </c>
      <c r="T67" s="50">
        <v>60</v>
      </c>
      <c r="U67" s="50">
        <v>60</v>
      </c>
      <c r="V67" s="50">
        <v>60</v>
      </c>
      <c r="W67" s="50">
        <v>34</v>
      </c>
      <c r="X67" s="50">
        <v>45</v>
      </c>
      <c r="Y67" s="50">
        <v>40</v>
      </c>
      <c r="Z67" s="50">
        <v>60</v>
      </c>
      <c r="AA67" s="50">
        <v>45</v>
      </c>
      <c r="AB67" s="50">
        <v>45</v>
      </c>
      <c r="AC67" s="50">
        <v>40</v>
      </c>
      <c r="AD67" s="50">
        <v>40</v>
      </c>
      <c r="AE67" s="50">
        <v>40</v>
      </c>
      <c r="AF67" s="50">
        <v>40</v>
      </c>
      <c r="AG67" s="56">
        <v>60</v>
      </c>
      <c r="AH67" s="52">
        <f t="shared" si="2"/>
        <v>60</v>
      </c>
      <c r="AI67" s="53">
        <f t="shared" si="3"/>
        <v>34</v>
      </c>
      <c r="AK67" s="54"/>
    </row>
    <row r="68" spans="1:40" x14ac:dyDescent="0.25">
      <c r="A68" s="60" t="s">
        <v>76</v>
      </c>
      <c r="B68" s="72">
        <v>22</v>
      </c>
      <c r="C68" s="72">
        <v>22</v>
      </c>
      <c r="D68" s="72">
        <v>22</v>
      </c>
      <c r="E68" s="72">
        <v>28.5</v>
      </c>
      <c r="F68" s="72">
        <v>28.5</v>
      </c>
      <c r="G68" s="72">
        <v>28.5</v>
      </c>
      <c r="H68" s="72">
        <v>28.5</v>
      </c>
      <c r="I68" s="72">
        <v>28.5</v>
      </c>
      <c r="J68" s="72">
        <v>28.5</v>
      </c>
      <c r="K68" s="72">
        <v>28.5</v>
      </c>
      <c r="L68" s="72">
        <v>28.5</v>
      </c>
      <c r="M68" s="72">
        <v>28.5</v>
      </c>
      <c r="N68" s="72">
        <v>28.5</v>
      </c>
      <c r="O68" s="72">
        <v>28.5</v>
      </c>
      <c r="P68" s="72">
        <v>28.5</v>
      </c>
      <c r="Q68" s="50">
        <v>28.3</v>
      </c>
      <c r="R68" s="50">
        <v>20.2</v>
      </c>
      <c r="S68" s="72">
        <v>28</v>
      </c>
      <c r="T68" s="72">
        <v>28</v>
      </c>
      <c r="U68" s="72">
        <v>28</v>
      </c>
      <c r="V68" s="72">
        <v>28</v>
      </c>
      <c r="W68" s="72">
        <v>13.6</v>
      </c>
      <c r="X68" s="72">
        <v>12.6</v>
      </c>
      <c r="Y68" s="72">
        <v>15.4</v>
      </c>
      <c r="Z68" s="72">
        <v>24.7</v>
      </c>
      <c r="AA68" s="72">
        <v>19.100000000000001</v>
      </c>
      <c r="AB68" s="72">
        <v>19.100000000000001</v>
      </c>
      <c r="AC68" s="72">
        <v>15</v>
      </c>
      <c r="AD68" s="72">
        <v>15</v>
      </c>
      <c r="AE68" s="72">
        <v>15</v>
      </c>
      <c r="AF68" s="72">
        <v>15</v>
      </c>
      <c r="AG68" s="61">
        <v>32</v>
      </c>
      <c r="AH68" s="52">
        <f t="shared" si="2"/>
        <v>28.5</v>
      </c>
      <c r="AI68" s="53">
        <f t="shared" si="3"/>
        <v>12.6</v>
      </c>
      <c r="AK68" s="54"/>
    </row>
    <row r="69" spans="1:40" ht="15.75" thickBot="1" x14ac:dyDescent="0.3">
      <c r="A69" s="78" t="s">
        <v>77</v>
      </c>
      <c r="B69" s="74">
        <v>10.5</v>
      </c>
      <c r="C69" s="74">
        <v>10.5</v>
      </c>
      <c r="D69" s="74">
        <v>10.5</v>
      </c>
      <c r="E69" s="74">
        <v>10.4</v>
      </c>
      <c r="F69" s="74">
        <v>10.4</v>
      </c>
      <c r="G69" s="74">
        <v>10.4</v>
      </c>
      <c r="H69" s="74">
        <v>10.4</v>
      </c>
      <c r="I69" s="74">
        <v>10.4</v>
      </c>
      <c r="J69" s="74">
        <v>10.4</v>
      </c>
      <c r="K69" s="74">
        <v>10.4</v>
      </c>
      <c r="L69" s="74">
        <v>10.4</v>
      </c>
      <c r="M69" s="74">
        <v>10.4</v>
      </c>
      <c r="N69" s="74">
        <v>10.4</v>
      </c>
      <c r="O69" s="74">
        <v>10.4</v>
      </c>
      <c r="P69" s="74">
        <v>10.4</v>
      </c>
      <c r="Q69" s="50">
        <v>10.3</v>
      </c>
      <c r="R69" s="50">
        <v>7.4</v>
      </c>
      <c r="S69" s="74">
        <v>10.199999999999999</v>
      </c>
      <c r="T69" s="74">
        <v>10.199999999999999</v>
      </c>
      <c r="U69" s="74">
        <v>10.199999999999999</v>
      </c>
      <c r="V69" s="74">
        <v>10.199999999999999</v>
      </c>
      <c r="W69" s="74">
        <v>5</v>
      </c>
      <c r="X69" s="74">
        <v>4.5999999999999996</v>
      </c>
      <c r="Y69" s="74">
        <v>5.6</v>
      </c>
      <c r="Z69" s="74">
        <v>9</v>
      </c>
      <c r="AA69" s="74">
        <v>7</v>
      </c>
      <c r="AB69" s="74">
        <v>7</v>
      </c>
      <c r="AC69" s="74">
        <v>6</v>
      </c>
      <c r="AD69" s="74">
        <v>6</v>
      </c>
      <c r="AE69" s="74">
        <v>6</v>
      </c>
      <c r="AF69" s="74">
        <v>6</v>
      </c>
      <c r="AG69" s="75">
        <v>14</v>
      </c>
      <c r="AH69" s="52">
        <f t="shared" si="2"/>
        <v>10.5</v>
      </c>
      <c r="AI69" s="53">
        <f t="shared" si="3"/>
        <v>4.5999999999999996</v>
      </c>
      <c r="AK69" s="54"/>
    </row>
    <row r="70" spans="1:40" ht="15.75" thickBot="1" x14ac:dyDescent="0.3">
      <c r="A70" s="81" t="s">
        <v>78</v>
      </c>
      <c r="B70" s="67">
        <f>B67+B68+B69</f>
        <v>72.5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98.9</v>
      </c>
      <c r="M70" s="67">
        <f t="shared" ref="M70:AF70" si="11">M67+M68+M69</f>
        <v>98.9</v>
      </c>
      <c r="N70" s="67">
        <f t="shared" si="11"/>
        <v>98.9</v>
      </c>
      <c r="O70" s="67">
        <f t="shared" si="11"/>
        <v>98.9</v>
      </c>
      <c r="P70" s="67">
        <f t="shared" si="11"/>
        <v>98.9</v>
      </c>
      <c r="Q70" s="67">
        <f t="shared" si="11"/>
        <v>98.6</v>
      </c>
      <c r="R70" s="67">
        <f t="shared" si="11"/>
        <v>77.600000000000009</v>
      </c>
      <c r="S70" s="67">
        <f t="shared" si="11"/>
        <v>98.2</v>
      </c>
      <c r="T70" s="67">
        <f t="shared" si="11"/>
        <v>98.2</v>
      </c>
      <c r="U70" s="67">
        <f t="shared" si="11"/>
        <v>98.2</v>
      </c>
      <c r="V70" s="67">
        <f t="shared" si="11"/>
        <v>98.2</v>
      </c>
      <c r="W70" s="67">
        <f t="shared" si="11"/>
        <v>52.6</v>
      </c>
      <c r="X70" s="67">
        <f t="shared" si="11"/>
        <v>62.2</v>
      </c>
      <c r="Y70" s="67">
        <f t="shared" si="11"/>
        <v>61</v>
      </c>
      <c r="Z70" s="67">
        <f t="shared" si="11"/>
        <v>93.7</v>
      </c>
      <c r="AA70" s="67">
        <f t="shared" si="11"/>
        <v>71.099999999999994</v>
      </c>
      <c r="AB70" s="67">
        <f t="shared" ref="AB70" si="12">AB67+AB68+AB69</f>
        <v>71.099999999999994</v>
      </c>
      <c r="AC70" s="67">
        <f t="shared" si="11"/>
        <v>61</v>
      </c>
      <c r="AD70" s="67">
        <f t="shared" si="11"/>
        <v>61</v>
      </c>
      <c r="AE70" s="67">
        <f t="shared" si="11"/>
        <v>61</v>
      </c>
      <c r="AF70" s="67">
        <f t="shared" si="11"/>
        <v>61</v>
      </c>
      <c r="AG70" s="68">
        <f>SUM(AG67:AG69)</f>
        <v>106</v>
      </c>
      <c r="AH70" s="52">
        <f t="shared" si="2"/>
        <v>98.9</v>
      </c>
      <c r="AI70" s="53">
        <f t="shared" si="3"/>
        <v>0</v>
      </c>
      <c r="AK70" s="54"/>
    </row>
    <row r="71" spans="1:40" x14ac:dyDescent="0.25">
      <c r="A71" s="49" t="s">
        <v>79</v>
      </c>
      <c r="B71" s="50">
        <v>70</v>
      </c>
      <c r="C71" s="50">
        <v>70</v>
      </c>
      <c r="D71" s="50">
        <v>67</v>
      </c>
      <c r="E71" s="50">
        <v>67.2</v>
      </c>
      <c r="F71" s="50">
        <v>65</v>
      </c>
      <c r="G71" s="50">
        <v>60.4</v>
      </c>
      <c r="H71" s="50">
        <v>60.4</v>
      </c>
      <c r="I71" s="50">
        <v>66.3</v>
      </c>
      <c r="J71" s="50">
        <v>65.2</v>
      </c>
      <c r="K71" s="50">
        <v>63.8</v>
      </c>
      <c r="L71" s="50">
        <v>62.2</v>
      </c>
      <c r="M71" s="50">
        <v>50.8</v>
      </c>
      <c r="N71" s="50">
        <v>69.400000000000006</v>
      </c>
      <c r="O71" s="50">
        <v>69</v>
      </c>
      <c r="P71" s="50">
        <v>71.3</v>
      </c>
      <c r="Q71" s="50">
        <v>77.2</v>
      </c>
      <c r="R71" s="50">
        <v>52.9</v>
      </c>
      <c r="S71" s="50">
        <v>69.400000000000006</v>
      </c>
      <c r="T71" s="50">
        <v>60</v>
      </c>
      <c r="U71" s="50">
        <v>69.3</v>
      </c>
      <c r="V71" s="50">
        <v>63.1</v>
      </c>
      <c r="W71" s="50">
        <v>65.3</v>
      </c>
      <c r="X71" s="50">
        <v>41.7</v>
      </c>
      <c r="Y71" s="50">
        <v>41.7</v>
      </c>
      <c r="Z71" s="50">
        <v>34</v>
      </c>
      <c r="AA71" s="50">
        <v>42</v>
      </c>
      <c r="AB71" s="50">
        <v>38.6</v>
      </c>
      <c r="AC71" s="50">
        <v>50</v>
      </c>
      <c r="AD71" s="50">
        <v>50</v>
      </c>
      <c r="AE71" s="50">
        <v>60</v>
      </c>
      <c r="AF71" s="50">
        <v>57</v>
      </c>
      <c r="AG71" s="56"/>
      <c r="AH71" s="52">
        <f t="shared" si="2"/>
        <v>77.2</v>
      </c>
      <c r="AI71" s="53">
        <f t="shared" si="3"/>
        <v>34</v>
      </c>
      <c r="AK71" s="54"/>
    </row>
    <row r="72" spans="1:40" x14ac:dyDescent="0.25">
      <c r="A72" s="60" t="s">
        <v>80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280</v>
      </c>
      <c r="C73" s="72">
        <v>300</v>
      </c>
      <c r="D73" s="72">
        <v>310</v>
      </c>
      <c r="E73" s="72">
        <v>361</v>
      </c>
      <c r="F73" s="72">
        <v>333.3</v>
      </c>
      <c r="G73" s="72">
        <v>296.7</v>
      </c>
      <c r="H73" s="72">
        <v>284.10000000000002</v>
      </c>
      <c r="I73" s="72">
        <v>345</v>
      </c>
      <c r="J73" s="72">
        <v>376.3</v>
      </c>
      <c r="K73" s="72">
        <v>373.6</v>
      </c>
      <c r="L73" s="72">
        <v>382.3</v>
      </c>
      <c r="M73" s="72">
        <v>360.5</v>
      </c>
      <c r="N73" s="72">
        <v>372.9</v>
      </c>
      <c r="O73" s="72">
        <v>429</v>
      </c>
      <c r="P73" s="72">
        <v>372.6</v>
      </c>
      <c r="Q73" s="72">
        <v>374</v>
      </c>
      <c r="R73" s="72">
        <v>414.7</v>
      </c>
      <c r="S73" s="72">
        <v>417</v>
      </c>
      <c r="T73" s="72">
        <v>434</v>
      </c>
      <c r="U73" s="72">
        <v>423</v>
      </c>
      <c r="V73" s="72">
        <v>382</v>
      </c>
      <c r="W73" s="72">
        <v>378</v>
      </c>
      <c r="X73" s="72">
        <v>444</v>
      </c>
      <c r="Y73" s="72">
        <v>454</v>
      </c>
      <c r="Z73" s="72">
        <v>470</v>
      </c>
      <c r="AA73" s="72">
        <v>415</v>
      </c>
      <c r="AB73" s="72">
        <v>400</v>
      </c>
      <c r="AC73" s="72">
        <v>402</v>
      </c>
      <c r="AD73" s="72">
        <v>395</v>
      </c>
      <c r="AE73" s="72">
        <v>370</v>
      </c>
      <c r="AF73" s="72">
        <v>350</v>
      </c>
      <c r="AG73" s="82"/>
      <c r="AH73" s="52">
        <f t="shared" si="2"/>
        <v>470</v>
      </c>
      <c r="AI73" s="53">
        <f t="shared" si="3"/>
        <v>280</v>
      </c>
      <c r="AK73" s="54"/>
    </row>
    <row r="74" spans="1:40" x14ac:dyDescent="0.25">
      <c r="A74" s="60" t="s">
        <v>82</v>
      </c>
      <c r="B74" s="72">
        <v>55</v>
      </c>
      <c r="C74" s="72">
        <v>55</v>
      </c>
      <c r="D74" s="72">
        <v>55.5</v>
      </c>
      <c r="E74" s="83">
        <v>56.2</v>
      </c>
      <c r="F74" s="83">
        <v>56.1</v>
      </c>
      <c r="G74" s="83">
        <v>53.4</v>
      </c>
      <c r="H74" s="83">
        <v>55.6</v>
      </c>
      <c r="I74" s="83">
        <v>55.5</v>
      </c>
      <c r="J74" s="83">
        <v>52.8</v>
      </c>
      <c r="K74" s="83">
        <v>55.6</v>
      </c>
      <c r="L74" s="83">
        <v>52.6</v>
      </c>
      <c r="M74" s="83">
        <v>46.3</v>
      </c>
      <c r="N74" s="83">
        <v>43.3</v>
      </c>
      <c r="O74" s="83">
        <v>50.6</v>
      </c>
      <c r="P74" s="83">
        <v>59.2</v>
      </c>
      <c r="Q74" s="83">
        <v>55.5</v>
      </c>
      <c r="R74" s="83">
        <v>50.3</v>
      </c>
      <c r="S74" s="83">
        <v>52.8</v>
      </c>
      <c r="T74" s="83">
        <v>53.9</v>
      </c>
      <c r="U74" s="83">
        <v>52.5</v>
      </c>
      <c r="V74" s="83">
        <v>44</v>
      </c>
      <c r="W74" s="83">
        <v>44</v>
      </c>
      <c r="X74" s="83">
        <v>49.6</v>
      </c>
      <c r="Y74" s="83">
        <v>49.6</v>
      </c>
      <c r="Z74" s="72">
        <v>49.6</v>
      </c>
      <c r="AA74" s="72">
        <v>49.6</v>
      </c>
      <c r="AB74" s="72">
        <v>49.6</v>
      </c>
      <c r="AC74" s="72">
        <v>50</v>
      </c>
      <c r="AD74" s="72">
        <v>50</v>
      </c>
      <c r="AE74" s="72">
        <v>50</v>
      </c>
      <c r="AF74" s="72">
        <v>50</v>
      </c>
      <c r="AG74" s="82"/>
      <c r="AH74" s="52">
        <f t="shared" si="2"/>
        <v>59.2</v>
      </c>
      <c r="AI74" s="53">
        <f t="shared" si="3"/>
        <v>43.3</v>
      </c>
      <c r="AK74" s="54"/>
    </row>
    <row r="75" spans="1:40" x14ac:dyDescent="0.25">
      <c r="A75" s="60" t="s">
        <v>83</v>
      </c>
      <c r="B75" s="50">
        <v>13.7</v>
      </c>
      <c r="C75" s="50">
        <v>24</v>
      </c>
      <c r="D75" s="50">
        <v>24</v>
      </c>
      <c r="E75" s="50">
        <v>24.6</v>
      </c>
      <c r="F75" s="50">
        <v>24.6</v>
      </c>
      <c r="G75" s="50">
        <v>24.6</v>
      </c>
      <c r="H75" s="50">
        <v>20.9</v>
      </c>
      <c r="I75" s="50">
        <v>21.1</v>
      </c>
      <c r="J75" s="50">
        <v>21.1</v>
      </c>
      <c r="K75" s="50">
        <v>21.1</v>
      </c>
      <c r="L75" s="50">
        <v>22.9</v>
      </c>
      <c r="M75" s="50">
        <v>26</v>
      </c>
      <c r="N75" s="50">
        <v>28.4</v>
      </c>
      <c r="O75" s="50">
        <v>31.5</v>
      </c>
      <c r="P75" s="50">
        <v>31.5</v>
      </c>
      <c r="Q75" s="50">
        <v>31.3</v>
      </c>
      <c r="R75" s="50">
        <v>31.5</v>
      </c>
      <c r="S75" s="50">
        <v>32.4</v>
      </c>
      <c r="T75" s="50">
        <v>28.8</v>
      </c>
      <c r="U75" s="50">
        <v>26.3</v>
      </c>
      <c r="V75" s="50">
        <v>26.3</v>
      </c>
      <c r="W75" s="50">
        <v>22</v>
      </c>
      <c r="X75" s="50">
        <v>22</v>
      </c>
      <c r="Y75" s="50">
        <v>22</v>
      </c>
      <c r="Z75" s="50">
        <v>22</v>
      </c>
      <c r="AA75" s="50">
        <v>22</v>
      </c>
      <c r="AB75" s="50">
        <v>22</v>
      </c>
      <c r="AC75" s="50">
        <v>21</v>
      </c>
      <c r="AD75" s="50">
        <v>21</v>
      </c>
      <c r="AE75" s="50">
        <v>21</v>
      </c>
      <c r="AF75" s="50">
        <v>21</v>
      </c>
      <c r="AG75" s="82"/>
      <c r="AH75" s="52">
        <f t="shared" ref="AH75:AH117" si="13">MAX(B75:AF75)</f>
        <v>32.4</v>
      </c>
      <c r="AI75" s="53">
        <f t="shared" ref="AI75:AI117" si="14">MIN(B75:AF75)</f>
        <v>13.7</v>
      </c>
      <c r="AK75" s="54"/>
    </row>
    <row r="76" spans="1:40" x14ac:dyDescent="0.25">
      <c r="A76" s="60" t="s">
        <v>84</v>
      </c>
      <c r="B76" s="84">
        <v>7</v>
      </c>
      <c r="C76" s="84">
        <v>7</v>
      </c>
      <c r="D76" s="84">
        <v>7</v>
      </c>
      <c r="E76" s="84">
        <v>7</v>
      </c>
      <c r="F76" s="84">
        <v>7</v>
      </c>
      <c r="G76" s="84">
        <v>7</v>
      </c>
      <c r="H76" s="84">
        <v>7</v>
      </c>
      <c r="I76" s="84">
        <v>7</v>
      </c>
      <c r="J76" s="84">
        <v>7</v>
      </c>
      <c r="K76" s="84">
        <v>7</v>
      </c>
      <c r="L76" s="84">
        <v>7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7</v>
      </c>
      <c r="U76" s="84">
        <v>7</v>
      </c>
      <c r="V76" s="84">
        <v>7</v>
      </c>
      <c r="W76" s="84">
        <v>7</v>
      </c>
      <c r="X76" s="84">
        <v>7</v>
      </c>
      <c r="Y76" s="84">
        <v>7</v>
      </c>
      <c r="Z76" s="84">
        <v>7</v>
      </c>
      <c r="AA76" s="84">
        <v>7</v>
      </c>
      <c r="AB76" s="84">
        <v>7</v>
      </c>
      <c r="AC76" s="84">
        <v>7</v>
      </c>
      <c r="AD76" s="84">
        <v>7</v>
      </c>
      <c r="AE76" s="84">
        <v>7</v>
      </c>
      <c r="AF76" s="84">
        <v>7</v>
      </c>
      <c r="AG76" s="82"/>
      <c r="AH76" s="52">
        <f t="shared" si="13"/>
        <v>7</v>
      </c>
      <c r="AI76" s="53">
        <f t="shared" si="14"/>
        <v>0</v>
      </c>
      <c r="AK76" s="54"/>
    </row>
    <row r="77" spans="1:40" ht="15.75" thickBot="1" x14ac:dyDescent="0.3">
      <c r="A77" s="60" t="s">
        <v>85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3"/>
        <v>0</v>
      </c>
      <c r="AI77" s="53">
        <f t="shared" si="14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3"/>
        <v>0</v>
      </c>
      <c r="AI78" s="53">
        <f t="shared" si="14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3"/>
        <v>0</v>
      </c>
      <c r="AI79" s="53">
        <f t="shared" si="14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3"/>
        <v>0</v>
      </c>
      <c r="AI80" s="53">
        <f t="shared" si="14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3"/>
        <v>0</v>
      </c>
      <c r="AI81" s="53">
        <f t="shared" si="14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:AF82" si="15">SUMIF(B71:B81,"&gt;0")</f>
        <v>425.7</v>
      </c>
      <c r="C82" s="67">
        <f t="shared" si="15"/>
        <v>456</v>
      </c>
      <c r="D82" s="67">
        <f t="shared" si="15"/>
        <v>463.5</v>
      </c>
      <c r="E82" s="67">
        <f t="shared" si="15"/>
        <v>516</v>
      </c>
      <c r="F82" s="67">
        <f t="shared" si="15"/>
        <v>486.00000000000006</v>
      </c>
      <c r="G82" s="67">
        <f t="shared" si="15"/>
        <v>442.09999999999997</v>
      </c>
      <c r="H82" s="67">
        <f t="shared" si="15"/>
        <v>428</v>
      </c>
      <c r="I82" s="67">
        <f t="shared" si="15"/>
        <v>494.90000000000003</v>
      </c>
      <c r="J82" s="67">
        <f t="shared" si="15"/>
        <v>522.4</v>
      </c>
      <c r="K82" s="67">
        <f t="shared" si="15"/>
        <v>521.1</v>
      </c>
      <c r="L82" s="67">
        <f t="shared" si="15"/>
        <v>527</v>
      </c>
      <c r="M82" s="67">
        <f t="shared" si="15"/>
        <v>483.6</v>
      </c>
      <c r="N82" s="67">
        <f t="shared" si="15"/>
        <v>514</v>
      </c>
      <c r="O82" s="67">
        <f t="shared" si="15"/>
        <v>580.1</v>
      </c>
      <c r="P82" s="67">
        <f t="shared" si="15"/>
        <v>534.6</v>
      </c>
      <c r="Q82" s="67">
        <f t="shared" si="15"/>
        <v>538</v>
      </c>
      <c r="R82" s="67">
        <f t="shared" si="15"/>
        <v>549.4</v>
      </c>
      <c r="S82" s="67">
        <f t="shared" si="15"/>
        <v>571.59999999999991</v>
      </c>
      <c r="T82" s="67">
        <f t="shared" si="15"/>
        <v>583.69999999999993</v>
      </c>
      <c r="U82" s="67">
        <f t="shared" si="15"/>
        <v>578.09999999999991</v>
      </c>
      <c r="V82" s="67">
        <f t="shared" si="15"/>
        <v>522.4</v>
      </c>
      <c r="W82" s="67">
        <f t="shared" si="15"/>
        <v>516.29999999999995</v>
      </c>
      <c r="X82" s="67">
        <f t="shared" si="15"/>
        <v>564.29999999999995</v>
      </c>
      <c r="Y82" s="67">
        <f t="shared" si="15"/>
        <v>574.29999999999995</v>
      </c>
      <c r="Z82" s="67">
        <f t="shared" si="15"/>
        <v>582.6</v>
      </c>
      <c r="AA82" s="67">
        <f t="shared" si="15"/>
        <v>535.6</v>
      </c>
      <c r="AB82" s="67">
        <f t="shared" ref="AB82" si="16">SUMIF(AB71:AB81,"&gt;0")</f>
        <v>517.20000000000005</v>
      </c>
      <c r="AC82" s="67">
        <f t="shared" si="15"/>
        <v>530</v>
      </c>
      <c r="AD82" s="67">
        <f t="shared" si="15"/>
        <v>523</v>
      </c>
      <c r="AE82" s="67">
        <f t="shared" si="15"/>
        <v>508</v>
      </c>
      <c r="AF82" s="67">
        <f t="shared" si="15"/>
        <v>485</v>
      </c>
      <c r="AG82" s="95">
        <f>SUM(AG71:AG81)</f>
        <v>0</v>
      </c>
      <c r="AH82" s="52">
        <f t="shared" si="13"/>
        <v>583.69999999999993</v>
      </c>
      <c r="AI82" s="53">
        <f t="shared" si="14"/>
        <v>425.7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3"/>
        <v>0</v>
      </c>
      <c r="AI83" s="53">
        <f t="shared" si="14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3"/>
        <v>0</v>
      </c>
      <c r="AI84" s="53">
        <f t="shared" si="14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3"/>
        <v>0</v>
      </c>
      <c r="AI85" s="53">
        <f t="shared" si="14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3"/>
        <v>0</v>
      </c>
      <c r="AI86" s="53">
        <f t="shared" si="14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:AG87" si="17">B48+B52+B70+B66+B82+B86</f>
        <v>1103.44</v>
      </c>
      <c r="C87" s="102">
        <f t="shared" si="17"/>
        <v>1064.1399999999999</v>
      </c>
      <c r="D87" s="102">
        <f t="shared" si="17"/>
        <v>1071.1399999999999</v>
      </c>
      <c r="E87" s="102">
        <f t="shared" si="17"/>
        <v>1077.3400000000001</v>
      </c>
      <c r="F87" s="102">
        <f t="shared" si="17"/>
        <v>1063.74</v>
      </c>
      <c r="G87" s="102">
        <f t="shared" si="17"/>
        <v>1101.94</v>
      </c>
      <c r="H87" s="102">
        <f t="shared" si="17"/>
        <v>1138.44</v>
      </c>
      <c r="I87" s="102">
        <f t="shared" si="17"/>
        <v>1184.6400000000001</v>
      </c>
      <c r="J87" s="102">
        <f t="shared" si="17"/>
        <v>1198.1399999999999</v>
      </c>
      <c r="K87" s="102">
        <f t="shared" si="17"/>
        <v>1221.1399999999999</v>
      </c>
      <c r="L87" s="102">
        <f t="shared" si="17"/>
        <v>1346.74</v>
      </c>
      <c r="M87" s="102">
        <f t="shared" si="17"/>
        <v>1317.8400000000001</v>
      </c>
      <c r="N87" s="102">
        <f t="shared" si="17"/>
        <v>1294.04</v>
      </c>
      <c r="O87" s="102">
        <f t="shared" si="17"/>
        <v>1340.1399999999999</v>
      </c>
      <c r="P87" s="102">
        <f t="shared" si="17"/>
        <v>1297.6399999999999</v>
      </c>
      <c r="Q87" s="102">
        <f t="shared" si="17"/>
        <v>1343.34</v>
      </c>
      <c r="R87" s="102">
        <f t="shared" si="17"/>
        <v>1287.54</v>
      </c>
      <c r="S87" s="102">
        <f t="shared" si="17"/>
        <v>1356.7399999999998</v>
      </c>
      <c r="T87" s="102">
        <f t="shared" si="17"/>
        <v>1371.8399999999997</v>
      </c>
      <c r="U87" s="102">
        <f t="shared" si="17"/>
        <v>1387.54</v>
      </c>
      <c r="V87" s="102">
        <f t="shared" si="17"/>
        <v>1320.7399999999998</v>
      </c>
      <c r="W87" s="102">
        <f t="shared" si="17"/>
        <v>1172.7399999999998</v>
      </c>
      <c r="X87" s="102">
        <f t="shared" si="17"/>
        <v>1190.8399999999999</v>
      </c>
      <c r="Y87" s="102">
        <f t="shared" si="17"/>
        <v>1246.04</v>
      </c>
      <c r="Z87" s="102">
        <f t="shared" si="17"/>
        <v>1380.44</v>
      </c>
      <c r="AA87" s="102">
        <f t="shared" si="17"/>
        <v>1338.04</v>
      </c>
      <c r="AB87" s="102">
        <f t="shared" ref="AB87" si="18">AB48+AB52+AB70+AB66+AB82+AB86</f>
        <v>1315.44</v>
      </c>
      <c r="AC87" s="102">
        <f t="shared" si="17"/>
        <v>1308.1399999999999</v>
      </c>
      <c r="AD87" s="102">
        <f t="shared" si="17"/>
        <v>1286.04</v>
      </c>
      <c r="AE87" s="102">
        <f t="shared" si="17"/>
        <v>1228.04</v>
      </c>
      <c r="AF87" s="102">
        <f t="shared" si="17"/>
        <v>1196.04</v>
      </c>
      <c r="AG87" s="68">
        <f t="shared" si="17"/>
        <v>2065.09</v>
      </c>
      <c r="AH87" s="52">
        <f>MAX(B87:AF87)</f>
        <v>1387.54</v>
      </c>
      <c r="AI87" s="53">
        <f>MIN(B87:AF87)</f>
        <v>1063.74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>
        <v>75</v>
      </c>
      <c r="O88" s="104">
        <v>70</v>
      </c>
      <c r="P88" s="104">
        <v>50</v>
      </c>
      <c r="Q88" s="104"/>
      <c r="R88" s="104"/>
      <c r="S88" s="104"/>
      <c r="T88" s="104"/>
      <c r="U88" s="104"/>
      <c r="V88" s="104"/>
      <c r="W88" s="104">
        <v>150</v>
      </c>
      <c r="X88" s="104">
        <v>150</v>
      </c>
      <c r="Y88" s="104">
        <v>150</v>
      </c>
      <c r="Z88" s="104">
        <v>180</v>
      </c>
      <c r="AA88" s="104">
        <v>180</v>
      </c>
      <c r="AB88" s="104">
        <v>130</v>
      </c>
      <c r="AC88" s="104">
        <v>80</v>
      </c>
      <c r="AD88" s="104">
        <v>0</v>
      </c>
      <c r="AE88" s="104">
        <v>0</v>
      </c>
      <c r="AF88" s="104"/>
      <c r="AG88" s="95"/>
      <c r="AH88" s="52">
        <f t="shared" si="13"/>
        <v>180</v>
      </c>
      <c r="AI88" s="53">
        <f t="shared" si="14"/>
        <v>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:AF89" si="19">B87+B88</f>
        <v>1103.44</v>
      </c>
      <c r="C89" s="102">
        <f t="shared" si="19"/>
        <v>1064.1399999999999</v>
      </c>
      <c r="D89" s="102">
        <f t="shared" si="19"/>
        <v>1071.1399999999999</v>
      </c>
      <c r="E89" s="102">
        <f t="shared" si="19"/>
        <v>1077.3400000000001</v>
      </c>
      <c r="F89" s="102">
        <f t="shared" si="19"/>
        <v>1063.74</v>
      </c>
      <c r="G89" s="102">
        <f t="shared" si="19"/>
        <v>1101.94</v>
      </c>
      <c r="H89" s="102">
        <f t="shared" si="19"/>
        <v>1138.44</v>
      </c>
      <c r="I89" s="102">
        <f t="shared" si="19"/>
        <v>1184.6400000000001</v>
      </c>
      <c r="J89" s="102">
        <f t="shared" si="19"/>
        <v>1198.1399999999999</v>
      </c>
      <c r="K89" s="102">
        <f t="shared" si="19"/>
        <v>1221.1399999999999</v>
      </c>
      <c r="L89" s="102">
        <f t="shared" si="19"/>
        <v>1346.74</v>
      </c>
      <c r="M89" s="102">
        <f t="shared" si="19"/>
        <v>1317.8400000000001</v>
      </c>
      <c r="N89" s="102">
        <f t="shared" si="19"/>
        <v>1369.04</v>
      </c>
      <c r="O89" s="102">
        <f t="shared" si="19"/>
        <v>1410.1399999999999</v>
      </c>
      <c r="P89" s="102">
        <f t="shared" si="19"/>
        <v>1347.6399999999999</v>
      </c>
      <c r="Q89" s="102">
        <f t="shared" si="19"/>
        <v>1343.34</v>
      </c>
      <c r="R89" s="102">
        <f t="shared" si="19"/>
        <v>1287.54</v>
      </c>
      <c r="S89" s="102">
        <f t="shared" si="19"/>
        <v>1356.7399999999998</v>
      </c>
      <c r="T89" s="102">
        <f t="shared" si="19"/>
        <v>1371.8399999999997</v>
      </c>
      <c r="U89" s="102">
        <f t="shared" si="19"/>
        <v>1387.54</v>
      </c>
      <c r="V89" s="102">
        <f t="shared" si="19"/>
        <v>1320.7399999999998</v>
      </c>
      <c r="W89" s="102">
        <f t="shared" si="19"/>
        <v>1322.7399999999998</v>
      </c>
      <c r="X89" s="102">
        <f t="shared" si="19"/>
        <v>1340.84</v>
      </c>
      <c r="Y89" s="102">
        <f t="shared" si="19"/>
        <v>1396.04</v>
      </c>
      <c r="Z89" s="102">
        <f t="shared" si="19"/>
        <v>1560.44</v>
      </c>
      <c r="AA89" s="102">
        <f t="shared" si="19"/>
        <v>1518.04</v>
      </c>
      <c r="AB89" s="102">
        <f t="shared" ref="AB89" si="20">AB87+AB88</f>
        <v>1445.44</v>
      </c>
      <c r="AC89" s="102">
        <f t="shared" si="19"/>
        <v>1388.1399999999999</v>
      </c>
      <c r="AD89" s="102">
        <f t="shared" si="19"/>
        <v>1286.04</v>
      </c>
      <c r="AE89" s="102">
        <f t="shared" si="19"/>
        <v>1228.04</v>
      </c>
      <c r="AF89" s="102">
        <f t="shared" si="19"/>
        <v>1196.04</v>
      </c>
      <c r="AG89" s="95">
        <f>AG86+AG82+AG70+AG66+AG48+AG88</f>
        <v>1526.99</v>
      </c>
      <c r="AH89" s="52">
        <f t="shared" si="13"/>
        <v>1560.44</v>
      </c>
      <c r="AI89" s="53">
        <f t="shared" si="14"/>
        <v>1063.74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:AF90" si="21">B89-B97</f>
        <v>1103.44</v>
      </c>
      <c r="C90" s="102">
        <f t="shared" si="21"/>
        <v>1064.1399999999999</v>
      </c>
      <c r="D90" s="102">
        <f t="shared" si="21"/>
        <v>1071.1399999999999</v>
      </c>
      <c r="E90" s="102">
        <f t="shared" si="21"/>
        <v>1077.3400000000001</v>
      </c>
      <c r="F90" s="102">
        <f t="shared" si="21"/>
        <v>1063.74</v>
      </c>
      <c r="G90" s="102">
        <f t="shared" si="21"/>
        <v>1101.94</v>
      </c>
      <c r="H90" s="102">
        <f t="shared" si="21"/>
        <v>1138.44</v>
      </c>
      <c r="I90" s="102">
        <f t="shared" si="21"/>
        <v>1184.6400000000001</v>
      </c>
      <c r="J90" s="102">
        <f t="shared" si="21"/>
        <v>1198.1399999999999</v>
      </c>
      <c r="K90" s="102">
        <f t="shared" si="21"/>
        <v>1221.1399999999999</v>
      </c>
      <c r="L90" s="102">
        <f t="shared" si="21"/>
        <v>1346.74</v>
      </c>
      <c r="M90" s="102">
        <f t="shared" si="21"/>
        <v>1317.8400000000001</v>
      </c>
      <c r="N90" s="102">
        <f t="shared" si="21"/>
        <v>1369.04</v>
      </c>
      <c r="O90" s="102">
        <f t="shared" si="21"/>
        <v>1410.1399999999999</v>
      </c>
      <c r="P90" s="102">
        <f t="shared" si="21"/>
        <v>1347.6399999999999</v>
      </c>
      <c r="Q90" s="102">
        <f t="shared" si="21"/>
        <v>1343.34</v>
      </c>
      <c r="R90" s="102">
        <f t="shared" si="21"/>
        <v>1287.54</v>
      </c>
      <c r="S90" s="102">
        <f t="shared" si="21"/>
        <v>1356.7399999999998</v>
      </c>
      <c r="T90" s="102">
        <f t="shared" si="21"/>
        <v>1371.8399999999997</v>
      </c>
      <c r="U90" s="102">
        <f t="shared" si="21"/>
        <v>1387.54</v>
      </c>
      <c r="V90" s="102">
        <f t="shared" si="21"/>
        <v>1320.7399999999998</v>
      </c>
      <c r="W90" s="102">
        <f t="shared" si="21"/>
        <v>1322.7399999999998</v>
      </c>
      <c r="X90" s="102">
        <f t="shared" si="21"/>
        <v>1340.84</v>
      </c>
      <c r="Y90" s="102">
        <f t="shared" si="21"/>
        <v>1396.04</v>
      </c>
      <c r="Z90" s="102">
        <f t="shared" si="21"/>
        <v>1560.44</v>
      </c>
      <c r="AA90" s="102">
        <f t="shared" si="21"/>
        <v>1518.04</v>
      </c>
      <c r="AB90" s="102">
        <f t="shared" ref="AB90" si="22">AB89-AB97</f>
        <v>1445.44</v>
      </c>
      <c r="AC90" s="102">
        <f t="shared" si="21"/>
        <v>1388.1399999999999</v>
      </c>
      <c r="AD90" s="102">
        <f t="shared" si="21"/>
        <v>1286.04</v>
      </c>
      <c r="AE90" s="102">
        <f t="shared" si="21"/>
        <v>1228.04</v>
      </c>
      <c r="AF90" s="102">
        <f t="shared" si="21"/>
        <v>1196.04</v>
      </c>
      <c r="AG90" s="95"/>
      <c r="AH90" s="52">
        <f t="shared" si="13"/>
        <v>1560.44</v>
      </c>
      <c r="AI90" s="53">
        <f t="shared" si="14"/>
        <v>1063.74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3"/>
        <v>0</v>
      </c>
      <c r="AI91" s="53">
        <f t="shared" si="14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3"/>
        <v>0</v>
      </c>
      <c r="AI92" s="53">
        <f t="shared" si="14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3"/>
        <v>0</v>
      </c>
      <c r="AI93" s="53">
        <f t="shared" si="14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3"/>
        <v>0</v>
      </c>
      <c r="AI94" s="53">
        <f t="shared" si="14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3"/>
        <v>0</v>
      </c>
      <c r="AI95" s="53">
        <f t="shared" si="14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3"/>
        <v>0</v>
      </c>
      <c r="AI96" s="53">
        <f t="shared" si="14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3"/>
        <v>0</v>
      </c>
      <c r="AI97" s="53">
        <f t="shared" si="14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:AF98" si="23">B82-B97</f>
        <v>425.7</v>
      </c>
      <c r="C98" s="67">
        <f t="shared" si="23"/>
        <v>456</v>
      </c>
      <c r="D98" s="67">
        <f t="shared" si="23"/>
        <v>463.5</v>
      </c>
      <c r="E98" s="67">
        <f t="shared" si="23"/>
        <v>516</v>
      </c>
      <c r="F98" s="67">
        <f t="shared" si="23"/>
        <v>486.00000000000006</v>
      </c>
      <c r="G98" s="67">
        <f t="shared" si="23"/>
        <v>442.09999999999997</v>
      </c>
      <c r="H98" s="67">
        <f t="shared" si="23"/>
        <v>428</v>
      </c>
      <c r="I98" s="67">
        <f t="shared" si="23"/>
        <v>494.90000000000003</v>
      </c>
      <c r="J98" s="67">
        <f t="shared" si="23"/>
        <v>522.4</v>
      </c>
      <c r="K98" s="67">
        <f t="shared" si="23"/>
        <v>521.1</v>
      </c>
      <c r="L98" s="67">
        <f t="shared" si="23"/>
        <v>527</v>
      </c>
      <c r="M98" s="67">
        <f t="shared" si="23"/>
        <v>483.6</v>
      </c>
      <c r="N98" s="67">
        <f t="shared" si="23"/>
        <v>514</v>
      </c>
      <c r="O98" s="67">
        <f t="shared" si="23"/>
        <v>580.1</v>
      </c>
      <c r="P98" s="67">
        <f t="shared" si="23"/>
        <v>534.6</v>
      </c>
      <c r="Q98" s="67">
        <f t="shared" si="23"/>
        <v>538</v>
      </c>
      <c r="R98" s="67">
        <f t="shared" si="23"/>
        <v>549.4</v>
      </c>
      <c r="S98" s="67">
        <f t="shared" si="23"/>
        <v>571.59999999999991</v>
      </c>
      <c r="T98" s="67">
        <f t="shared" si="23"/>
        <v>583.69999999999993</v>
      </c>
      <c r="U98" s="67">
        <f t="shared" si="23"/>
        <v>578.09999999999991</v>
      </c>
      <c r="V98" s="67">
        <f t="shared" si="23"/>
        <v>522.4</v>
      </c>
      <c r="W98" s="67">
        <f t="shared" si="23"/>
        <v>516.29999999999995</v>
      </c>
      <c r="X98" s="67">
        <f t="shared" si="23"/>
        <v>564.29999999999995</v>
      </c>
      <c r="Y98" s="67">
        <f t="shared" si="23"/>
        <v>574.29999999999995</v>
      </c>
      <c r="Z98" s="67">
        <f t="shared" si="23"/>
        <v>582.6</v>
      </c>
      <c r="AA98" s="67">
        <f t="shared" si="23"/>
        <v>535.6</v>
      </c>
      <c r="AB98" s="67">
        <f t="shared" si="23"/>
        <v>517.20000000000005</v>
      </c>
      <c r="AC98" s="67">
        <f t="shared" si="23"/>
        <v>530</v>
      </c>
      <c r="AD98" s="67">
        <f t="shared" si="23"/>
        <v>523</v>
      </c>
      <c r="AE98" s="67">
        <f t="shared" si="23"/>
        <v>508</v>
      </c>
      <c r="AF98" s="67">
        <f t="shared" si="23"/>
        <v>485</v>
      </c>
      <c r="AG98" s="95"/>
      <c r="AH98" s="52">
        <f t="shared" si="13"/>
        <v>583.69999999999993</v>
      </c>
      <c r="AI98" s="53">
        <f t="shared" si="14"/>
        <v>425.7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50</v>
      </c>
      <c r="C99" s="108">
        <v>49.932000000000002</v>
      </c>
      <c r="D99" s="108">
        <v>49.896000000000001</v>
      </c>
      <c r="E99" s="108">
        <v>49.984000000000002</v>
      </c>
      <c r="F99" s="108">
        <v>50.024999999999999</v>
      </c>
      <c r="G99" s="108">
        <v>49.984999999999999</v>
      </c>
      <c r="H99" s="108">
        <v>49.942</v>
      </c>
      <c r="I99" s="108">
        <v>49.896999999999998</v>
      </c>
      <c r="J99" s="108">
        <v>49.923000000000002</v>
      </c>
      <c r="K99" s="108">
        <v>50.000999999999998</v>
      </c>
      <c r="L99" s="108">
        <v>49.926000000000002</v>
      </c>
      <c r="M99" s="108">
        <v>49.920999999999999</v>
      </c>
      <c r="N99" s="108">
        <v>49.978000000000002</v>
      </c>
      <c r="O99" s="108">
        <v>49.933</v>
      </c>
      <c r="P99" s="108">
        <v>50.024999999999999</v>
      </c>
      <c r="Q99" s="108">
        <v>49.8</v>
      </c>
      <c r="R99" s="108">
        <v>49.959000000000003</v>
      </c>
      <c r="S99" s="108">
        <v>49.939</v>
      </c>
      <c r="T99" s="108">
        <v>49.923999999999999</v>
      </c>
      <c r="U99" s="108">
        <v>49.912999999999997</v>
      </c>
      <c r="V99" s="108">
        <v>49.942999999999998</v>
      </c>
      <c r="W99" s="108">
        <v>49.972000000000001</v>
      </c>
      <c r="X99" s="108">
        <v>50.118000000000002</v>
      </c>
      <c r="Y99" s="108">
        <v>50.162999999999997</v>
      </c>
      <c r="Z99" s="108">
        <v>50.036999999999999</v>
      </c>
      <c r="AA99" s="108">
        <v>49.975000000000001</v>
      </c>
      <c r="AB99" s="108">
        <v>49.99</v>
      </c>
      <c r="AC99" s="108">
        <v>49.98</v>
      </c>
      <c r="AD99" s="108">
        <v>49.95</v>
      </c>
      <c r="AE99" s="108">
        <v>49.97</v>
      </c>
      <c r="AF99" s="108">
        <v>50</v>
      </c>
      <c r="AG99" s="109"/>
      <c r="AH99" s="52">
        <f t="shared" si="13"/>
        <v>50.162999999999997</v>
      </c>
      <c r="AI99" s="53">
        <f t="shared" si="14"/>
        <v>49.8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127.7</v>
      </c>
      <c r="C100" s="72">
        <v>127.7</v>
      </c>
      <c r="D100" s="72">
        <v>127.1</v>
      </c>
      <c r="E100" s="72">
        <v>127.4</v>
      </c>
      <c r="F100" s="72">
        <v>127.4</v>
      </c>
      <c r="G100" s="72">
        <v>127.1</v>
      </c>
      <c r="H100" s="72">
        <v>127.1</v>
      </c>
      <c r="I100" s="72">
        <v>126.7</v>
      </c>
      <c r="J100" s="72">
        <v>126.7</v>
      </c>
      <c r="K100" s="72">
        <v>126.7</v>
      </c>
      <c r="L100" s="72">
        <v>125.6</v>
      </c>
      <c r="M100" s="72">
        <v>126.6</v>
      </c>
      <c r="N100" s="72">
        <v>125.8</v>
      </c>
      <c r="O100" s="72">
        <v>124.7</v>
      </c>
      <c r="P100" s="72">
        <v>126.3</v>
      </c>
      <c r="Q100" s="72">
        <v>128.30000000000001</v>
      </c>
      <c r="R100" s="72">
        <v>126.4</v>
      </c>
      <c r="S100" s="72">
        <v>126.6</v>
      </c>
      <c r="T100" s="72">
        <v>125.6</v>
      </c>
      <c r="U100" s="72">
        <v>124.4</v>
      </c>
      <c r="V100" s="72">
        <v>127.4</v>
      </c>
      <c r="W100" s="72">
        <v>128.5</v>
      </c>
      <c r="X100" s="72">
        <v>128</v>
      </c>
      <c r="Y100" s="72">
        <v>128.4</v>
      </c>
      <c r="Z100" s="72">
        <v>127.6</v>
      </c>
      <c r="AA100" s="72">
        <v>128.5</v>
      </c>
      <c r="AB100" s="72">
        <v>130.30000000000001</v>
      </c>
      <c r="AC100" s="72">
        <v>128</v>
      </c>
      <c r="AD100" s="72">
        <v>128</v>
      </c>
      <c r="AE100" s="72">
        <v>128</v>
      </c>
      <c r="AF100" s="72">
        <v>128</v>
      </c>
      <c r="AG100" s="111"/>
      <c r="AH100" s="52">
        <f t="shared" si="13"/>
        <v>130.30000000000001</v>
      </c>
      <c r="AI100" s="53">
        <f t="shared" si="14"/>
        <v>124.4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131.6</v>
      </c>
      <c r="C101" s="72">
        <v>131.9</v>
      </c>
      <c r="D101" s="72">
        <v>131.1</v>
      </c>
      <c r="E101" s="72">
        <v>131.4</v>
      </c>
      <c r="F101" s="72">
        <v>131.4</v>
      </c>
      <c r="G101" s="72">
        <v>130.69999999999999</v>
      </c>
      <c r="H101" s="72">
        <v>130.69999999999999</v>
      </c>
      <c r="I101" s="72">
        <v>130.19999999999999</v>
      </c>
      <c r="J101" s="72">
        <v>130.19999999999999</v>
      </c>
      <c r="K101" s="72">
        <v>130.19999999999999</v>
      </c>
      <c r="L101" s="72">
        <v>128</v>
      </c>
      <c r="M101" s="72">
        <v>129</v>
      </c>
      <c r="N101" s="72">
        <v>128.4</v>
      </c>
      <c r="O101" s="72">
        <v>127.6</v>
      </c>
      <c r="P101" s="72">
        <v>129.19999999999999</v>
      </c>
      <c r="Q101" s="72">
        <v>131.30000000000001</v>
      </c>
      <c r="R101" s="72">
        <v>129.5</v>
      </c>
      <c r="S101" s="72">
        <v>129.69999999999999</v>
      </c>
      <c r="T101" s="72">
        <v>129</v>
      </c>
      <c r="U101" s="72">
        <v>128.1</v>
      </c>
      <c r="V101" s="72">
        <v>130.5</v>
      </c>
      <c r="W101" s="72">
        <v>131.1</v>
      </c>
      <c r="X101" s="72">
        <v>130.30000000000001</v>
      </c>
      <c r="Y101" s="72">
        <v>130.69999999999999</v>
      </c>
      <c r="Z101" s="72">
        <v>129.80000000000001</v>
      </c>
      <c r="AA101" s="72">
        <v>131.4</v>
      </c>
      <c r="AB101" s="72">
        <v>132.80000000000001</v>
      </c>
      <c r="AC101" s="72">
        <v>131</v>
      </c>
      <c r="AD101" s="72">
        <v>131</v>
      </c>
      <c r="AE101" s="72">
        <v>131</v>
      </c>
      <c r="AF101" s="72">
        <v>131</v>
      </c>
      <c r="AG101" s="111"/>
      <c r="AH101" s="52">
        <f t="shared" si="13"/>
        <v>132.80000000000001</v>
      </c>
      <c r="AI101" s="53">
        <f t="shared" si="14"/>
        <v>127.6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130.30000000000001</v>
      </c>
      <c r="C102" s="72">
        <v>131</v>
      </c>
      <c r="D102" s="72">
        <v>132.4</v>
      </c>
      <c r="E102" s="72">
        <v>132.69999999999999</v>
      </c>
      <c r="F102" s="72">
        <v>132.69999999999999</v>
      </c>
      <c r="G102" s="72">
        <v>130</v>
      </c>
      <c r="H102" s="72">
        <v>130</v>
      </c>
      <c r="I102" s="72">
        <v>126.8</v>
      </c>
      <c r="J102" s="72">
        <v>126.8</v>
      </c>
      <c r="K102" s="72">
        <v>126.8</v>
      </c>
      <c r="L102" s="72">
        <v>124.9</v>
      </c>
      <c r="M102" s="72">
        <v>127.6</v>
      </c>
      <c r="N102" s="72">
        <v>128.30000000000001</v>
      </c>
      <c r="O102" s="72">
        <v>127.2</v>
      </c>
      <c r="P102" s="72">
        <v>128.30000000000001</v>
      </c>
      <c r="Q102" s="72">
        <v>130.30000000000001</v>
      </c>
      <c r="R102" s="72">
        <v>129</v>
      </c>
      <c r="S102" s="72">
        <v>126.3</v>
      </c>
      <c r="T102" s="72">
        <v>127</v>
      </c>
      <c r="U102" s="72">
        <v>128.30000000000001</v>
      </c>
      <c r="V102" s="72">
        <v>130</v>
      </c>
      <c r="W102" s="72">
        <v>128.80000000000001</v>
      </c>
      <c r="X102" s="72">
        <v>129.4</v>
      </c>
      <c r="Y102" s="72">
        <v>128.5</v>
      </c>
      <c r="Z102" s="72">
        <v>130.9</v>
      </c>
      <c r="AA102" s="72">
        <v>130.6</v>
      </c>
      <c r="AB102" s="72">
        <v>130.4</v>
      </c>
      <c r="AC102" s="72">
        <v>130</v>
      </c>
      <c r="AD102" s="72">
        <v>130</v>
      </c>
      <c r="AE102" s="72">
        <v>130</v>
      </c>
      <c r="AF102" s="72">
        <v>130</v>
      </c>
      <c r="AG102" s="111"/>
      <c r="AH102" s="52">
        <f t="shared" si="13"/>
        <v>132.69999999999999</v>
      </c>
      <c r="AI102" s="53">
        <f t="shared" si="14"/>
        <v>124.9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3"/>
        <v>0</v>
      </c>
      <c r="AI103" s="53">
        <f t="shared" si="14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130.6</v>
      </c>
      <c r="C104" s="113">
        <v>131</v>
      </c>
      <c r="D104" s="113">
        <v>129.4</v>
      </c>
      <c r="E104" s="113">
        <v>132.19999999999999</v>
      </c>
      <c r="F104" s="113">
        <v>132.19999999999999</v>
      </c>
      <c r="G104" s="113">
        <v>128.9</v>
      </c>
      <c r="H104" s="113">
        <v>128.9</v>
      </c>
      <c r="I104" s="113">
        <v>135.19999999999999</v>
      </c>
      <c r="J104" s="113">
        <v>135.19999999999999</v>
      </c>
      <c r="K104" s="113">
        <v>135.19999999999999</v>
      </c>
      <c r="L104" s="113">
        <v>131.69999999999999</v>
      </c>
      <c r="M104" s="113">
        <v>134.69999999999999</v>
      </c>
      <c r="N104" s="113">
        <v>131.69999999999999</v>
      </c>
      <c r="O104" s="113">
        <v>131.9</v>
      </c>
      <c r="P104" s="113">
        <v>133.30000000000001</v>
      </c>
      <c r="Q104" s="113">
        <v>136.1</v>
      </c>
      <c r="R104" s="113">
        <v>132.30000000000001</v>
      </c>
      <c r="S104" s="113">
        <v>132.6</v>
      </c>
      <c r="T104" s="113">
        <v>131.4</v>
      </c>
      <c r="U104" s="113">
        <v>130.30000000000001</v>
      </c>
      <c r="V104" s="113">
        <v>135.80000000000001</v>
      </c>
      <c r="W104" s="113">
        <v>133.19999999999999</v>
      </c>
      <c r="X104" s="113">
        <v>134.69999999999999</v>
      </c>
      <c r="Y104" s="113">
        <v>136</v>
      </c>
      <c r="Z104" s="113">
        <v>133.1</v>
      </c>
      <c r="AA104" s="113">
        <v>133.4</v>
      </c>
      <c r="AB104" s="113">
        <v>137.30000000000001</v>
      </c>
      <c r="AC104" s="113">
        <v>131</v>
      </c>
      <c r="AD104" s="113">
        <v>131</v>
      </c>
      <c r="AE104" s="113">
        <v>131</v>
      </c>
      <c r="AF104" s="113">
        <v>131</v>
      </c>
      <c r="AG104" s="114"/>
      <c r="AH104" s="52">
        <f t="shared" si="13"/>
        <v>137.30000000000001</v>
      </c>
      <c r="AI104" s="53">
        <f t="shared" si="14"/>
        <v>128.9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129.9</v>
      </c>
      <c r="C105" s="72">
        <v>130.69999999999999</v>
      </c>
      <c r="D105" s="72">
        <v>130.1</v>
      </c>
      <c r="E105" s="72">
        <v>130.6</v>
      </c>
      <c r="F105" s="72">
        <v>130.6</v>
      </c>
      <c r="G105" s="72">
        <v>126</v>
      </c>
      <c r="H105" s="72">
        <v>126</v>
      </c>
      <c r="I105" s="72">
        <v>129</v>
      </c>
      <c r="J105" s="72">
        <v>129</v>
      </c>
      <c r="K105" s="72">
        <v>129</v>
      </c>
      <c r="L105" s="72">
        <v>126.1</v>
      </c>
      <c r="M105" s="72">
        <v>135</v>
      </c>
      <c r="N105" s="72">
        <v>130.5</v>
      </c>
      <c r="O105" s="72">
        <v>125.6</v>
      </c>
      <c r="P105" s="72">
        <v>128</v>
      </c>
      <c r="Q105" s="72">
        <v>129.9</v>
      </c>
      <c r="R105" s="72">
        <v>130.19999999999999</v>
      </c>
      <c r="S105" s="72">
        <v>131</v>
      </c>
      <c r="T105" s="72">
        <v>131.4</v>
      </c>
      <c r="U105" s="72">
        <v>133.30000000000001</v>
      </c>
      <c r="V105" s="72">
        <v>133.80000000000001</v>
      </c>
      <c r="W105" s="72">
        <v>136.6</v>
      </c>
      <c r="X105" s="72">
        <v>134.30000000000001</v>
      </c>
      <c r="Y105" s="72">
        <v>135.5</v>
      </c>
      <c r="Z105" s="72">
        <v>127.6</v>
      </c>
      <c r="AA105" s="72">
        <v>126.9</v>
      </c>
      <c r="AB105" s="72">
        <v>133.1</v>
      </c>
      <c r="AC105" s="72">
        <v>128</v>
      </c>
      <c r="AD105" s="72">
        <v>128</v>
      </c>
      <c r="AE105" s="72">
        <v>128</v>
      </c>
      <c r="AF105" s="72">
        <v>128</v>
      </c>
      <c r="AG105" s="111"/>
      <c r="AH105" s="52">
        <f t="shared" si="13"/>
        <v>136.6</v>
      </c>
      <c r="AI105" s="53">
        <f t="shared" si="14"/>
        <v>125.6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66.3</v>
      </c>
      <c r="C106" s="99">
        <v>66.400000000000006</v>
      </c>
      <c r="D106" s="99">
        <v>65.900000000000006</v>
      </c>
      <c r="E106" s="99">
        <v>66</v>
      </c>
      <c r="F106" s="99">
        <v>66</v>
      </c>
      <c r="G106" s="99">
        <v>65.599999999999994</v>
      </c>
      <c r="H106" s="99">
        <v>65.599999999999994</v>
      </c>
      <c r="I106" s="99">
        <v>65.2</v>
      </c>
      <c r="J106" s="99">
        <v>65.2</v>
      </c>
      <c r="K106" s="99">
        <v>65.2</v>
      </c>
      <c r="L106" s="99">
        <v>64.2</v>
      </c>
      <c r="M106" s="99">
        <v>64.400000000000006</v>
      </c>
      <c r="N106" s="99">
        <v>64.7</v>
      </c>
      <c r="O106" s="99">
        <v>64.400000000000006</v>
      </c>
      <c r="P106" s="99">
        <v>65.099999999999994</v>
      </c>
      <c r="Q106" s="99">
        <v>65.599999999999994</v>
      </c>
      <c r="R106" s="99">
        <v>65</v>
      </c>
      <c r="S106" s="99">
        <v>65.099999999999994</v>
      </c>
      <c r="T106" s="99">
        <v>64.8</v>
      </c>
      <c r="U106" s="99">
        <v>64.2</v>
      </c>
      <c r="V106" s="99">
        <v>65.400000000000006</v>
      </c>
      <c r="W106" s="99">
        <v>66</v>
      </c>
      <c r="X106" s="99">
        <v>65.599999999999994</v>
      </c>
      <c r="Y106" s="99">
        <v>65.7</v>
      </c>
      <c r="Z106" s="99">
        <v>65.099999999999994</v>
      </c>
      <c r="AA106" s="99">
        <v>66</v>
      </c>
      <c r="AB106" s="99">
        <v>66.599999999999994</v>
      </c>
      <c r="AC106" s="99">
        <v>66</v>
      </c>
      <c r="AD106" s="99">
        <v>66</v>
      </c>
      <c r="AE106" s="99">
        <v>66</v>
      </c>
      <c r="AF106" s="99">
        <v>66</v>
      </c>
      <c r="AG106" s="115"/>
      <c r="AH106" s="52">
        <f t="shared" si="13"/>
        <v>66.599999999999994</v>
      </c>
      <c r="AI106" s="53">
        <f t="shared" si="14"/>
        <v>64.2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3"/>
        <v>0</v>
      </c>
      <c r="AI107" s="53">
        <f t="shared" si="14"/>
        <v>0</v>
      </c>
    </row>
    <row r="108" spans="1:88" ht="15.75" thickBot="1" x14ac:dyDescent="0.3">
      <c r="A108" s="117" t="s">
        <v>116</v>
      </c>
      <c r="B108" s="118">
        <f t="shared" ref="B108:AF108" si="24">SUM(B18,B24,B27:B28,B56,B58:B59,B61,B63,B109:B113,B135,B141,B147,B156,B158,B170,B177,B180:B181,B188,B190,B192,B196:B198,B200:B202,B207,B213:B214,B216:B218,B226,B231)</f>
        <v>117</v>
      </c>
      <c r="C108" s="118">
        <f t="shared" si="24"/>
        <v>101.44</v>
      </c>
      <c r="D108" s="118">
        <f t="shared" si="24"/>
        <v>99.239999999999981</v>
      </c>
      <c r="E108" s="118">
        <f t="shared" si="24"/>
        <v>107.44</v>
      </c>
      <c r="F108" s="118">
        <f t="shared" si="24"/>
        <v>108.84</v>
      </c>
      <c r="G108" s="118">
        <f t="shared" si="24"/>
        <v>231.33999999999997</v>
      </c>
      <c r="H108" s="118">
        <f t="shared" si="24"/>
        <v>164.24</v>
      </c>
      <c r="I108" s="118">
        <f t="shared" si="24"/>
        <v>193.94</v>
      </c>
      <c r="J108" s="118">
        <f t="shared" si="24"/>
        <v>238.44</v>
      </c>
      <c r="K108" s="118">
        <f t="shared" si="24"/>
        <v>264.64</v>
      </c>
      <c r="L108" s="118">
        <f t="shared" si="24"/>
        <v>277.33999999999997</v>
      </c>
      <c r="M108" s="118">
        <f t="shared" si="24"/>
        <v>228.04</v>
      </c>
      <c r="N108" s="118">
        <f t="shared" si="24"/>
        <v>219.14</v>
      </c>
      <c r="O108" s="118">
        <f t="shared" si="24"/>
        <v>242.44</v>
      </c>
      <c r="P108" s="118">
        <v>42</v>
      </c>
      <c r="Q108" s="118">
        <f t="shared" si="24"/>
        <v>277.39999999999998</v>
      </c>
      <c r="R108" s="118">
        <f t="shared" si="24"/>
        <v>228.29999999999998</v>
      </c>
      <c r="S108" s="118">
        <f t="shared" si="24"/>
        <v>256.8</v>
      </c>
      <c r="T108" s="118">
        <f t="shared" si="24"/>
        <v>253.2</v>
      </c>
      <c r="U108" s="118">
        <f t="shared" si="24"/>
        <v>253.8</v>
      </c>
      <c r="V108" s="118">
        <f t="shared" si="24"/>
        <v>251.45</v>
      </c>
      <c r="W108" s="118">
        <f t="shared" si="24"/>
        <v>249.7</v>
      </c>
      <c r="X108" s="118">
        <f t="shared" si="24"/>
        <v>284.10000000000002</v>
      </c>
      <c r="Y108" s="118">
        <f t="shared" si="24"/>
        <v>298.8</v>
      </c>
      <c r="Z108" s="118">
        <f t="shared" si="24"/>
        <v>341.4</v>
      </c>
      <c r="AA108" s="118">
        <f t="shared" si="24"/>
        <v>336.6</v>
      </c>
      <c r="AB108" s="118">
        <f t="shared" si="24"/>
        <v>288.2</v>
      </c>
      <c r="AC108" s="118">
        <f t="shared" si="24"/>
        <v>269</v>
      </c>
      <c r="AD108" s="118">
        <f t="shared" si="24"/>
        <v>217</v>
      </c>
      <c r="AE108" s="118">
        <f t="shared" si="24"/>
        <v>192</v>
      </c>
      <c r="AF108" s="118">
        <f t="shared" si="24"/>
        <v>154</v>
      </c>
      <c r="AG108" s="119"/>
      <c r="AH108" s="52">
        <f t="shared" si="13"/>
        <v>341.4</v>
      </c>
      <c r="AI108" s="53">
        <f t="shared" si="14"/>
        <v>42</v>
      </c>
    </row>
    <row r="109" spans="1:88" x14ac:dyDescent="0.25">
      <c r="A109" s="107" t="s">
        <v>117</v>
      </c>
      <c r="B109" s="120">
        <v>-17.100000000000001</v>
      </c>
      <c r="C109" s="120">
        <v>-15.8</v>
      </c>
      <c r="D109" s="120">
        <v>-32.700000000000003</v>
      </c>
      <c r="E109" s="120">
        <v>-36.200000000000003</v>
      </c>
      <c r="F109" s="120">
        <v>-34.299999999999997</v>
      </c>
      <c r="G109" s="120">
        <v>-35.5</v>
      </c>
      <c r="H109" s="120">
        <v>-28.2</v>
      </c>
      <c r="I109" s="120">
        <v>-16.600000000000001</v>
      </c>
      <c r="J109" s="120">
        <v>-10.1</v>
      </c>
      <c r="K109" s="120">
        <v>-10.1</v>
      </c>
      <c r="L109" s="120">
        <v>-2.6</v>
      </c>
      <c r="M109" s="120">
        <v>-3.8</v>
      </c>
      <c r="N109" s="120">
        <v>-3.4</v>
      </c>
      <c r="O109" s="120">
        <v>4.4000000000000004</v>
      </c>
      <c r="P109" s="120">
        <v>7.7</v>
      </c>
      <c r="Q109" s="120">
        <v>19.5</v>
      </c>
      <c r="R109" s="120">
        <v>3.5</v>
      </c>
      <c r="S109" s="120">
        <v>2.4</v>
      </c>
      <c r="T109" s="120">
        <v>1.6</v>
      </c>
      <c r="U109" s="120">
        <v>8.6999999999999993</v>
      </c>
      <c r="V109" s="120">
        <v>17.850000000000001</v>
      </c>
      <c r="W109" s="120">
        <v>10</v>
      </c>
      <c r="X109" s="120">
        <v>0</v>
      </c>
      <c r="Y109" s="120">
        <v>13.2</v>
      </c>
      <c r="Z109" s="120">
        <v>19.2</v>
      </c>
      <c r="AA109" s="120">
        <v>22</v>
      </c>
      <c r="AB109" s="120">
        <v>20.7</v>
      </c>
      <c r="AC109" s="120">
        <v>20</v>
      </c>
      <c r="AD109" s="120">
        <v>12</v>
      </c>
      <c r="AE109" s="120">
        <v>0</v>
      </c>
      <c r="AF109" s="120">
        <v>-10</v>
      </c>
      <c r="AG109" s="121">
        <v>75</v>
      </c>
      <c r="AH109" s="52">
        <f t="shared" si="13"/>
        <v>22</v>
      </c>
      <c r="AI109" s="53">
        <f t="shared" si="14"/>
        <v>-36.200000000000003</v>
      </c>
    </row>
    <row r="110" spans="1:88" x14ac:dyDescent="0.25">
      <c r="A110" s="110" t="s">
        <v>118</v>
      </c>
      <c r="B110" s="122">
        <v>-25.3</v>
      </c>
      <c r="C110" s="122">
        <v>-22.5</v>
      </c>
      <c r="D110" s="122">
        <v>-46.6</v>
      </c>
      <c r="E110" s="122">
        <v>-51.6</v>
      </c>
      <c r="F110" s="122">
        <v>-45.8</v>
      </c>
      <c r="G110" s="122">
        <v>48.9</v>
      </c>
      <c r="H110" s="122">
        <v>-39.6</v>
      </c>
      <c r="I110" s="122">
        <v>-25.3</v>
      </c>
      <c r="J110" s="122">
        <v>-16.100000000000001</v>
      </c>
      <c r="K110" s="122">
        <v>-18</v>
      </c>
      <c r="L110" s="122">
        <v>-8.9</v>
      </c>
      <c r="M110" s="122">
        <v>-5.9</v>
      </c>
      <c r="N110" s="122">
        <v>-6.3</v>
      </c>
      <c r="O110" s="122">
        <v>8.3000000000000007</v>
      </c>
      <c r="P110" s="122">
        <v>12.2</v>
      </c>
      <c r="Q110" s="122">
        <v>29.8</v>
      </c>
      <c r="R110" s="122">
        <v>5</v>
      </c>
      <c r="S110" s="122">
        <v>4</v>
      </c>
      <c r="T110" s="122">
        <v>2.5</v>
      </c>
      <c r="U110" s="122">
        <v>13.2</v>
      </c>
      <c r="V110" s="122">
        <v>21.3</v>
      </c>
      <c r="W110" s="122">
        <v>9.3000000000000007</v>
      </c>
      <c r="X110" s="122">
        <v>-3.4</v>
      </c>
      <c r="Y110" s="122">
        <v>13.3</v>
      </c>
      <c r="Z110" s="122">
        <v>20.7</v>
      </c>
      <c r="AA110" s="122">
        <v>26.1</v>
      </c>
      <c r="AB110" s="122">
        <v>23.2</v>
      </c>
      <c r="AC110" s="122">
        <v>18</v>
      </c>
      <c r="AD110" s="122">
        <v>10</v>
      </c>
      <c r="AE110" s="122">
        <v>0</v>
      </c>
      <c r="AF110" s="122">
        <v>-6</v>
      </c>
      <c r="AG110" s="121">
        <v>240</v>
      </c>
      <c r="AH110" s="52">
        <f t="shared" si="13"/>
        <v>48.9</v>
      </c>
      <c r="AI110" s="53">
        <f t="shared" si="14"/>
        <v>-51.6</v>
      </c>
    </row>
    <row r="111" spans="1:88" x14ac:dyDescent="0.25">
      <c r="A111" s="110" t="s">
        <v>119</v>
      </c>
      <c r="B111" s="122">
        <v>-35</v>
      </c>
      <c r="C111" s="122">
        <v>-35</v>
      </c>
      <c r="D111" s="122">
        <v>-24</v>
      </c>
      <c r="E111" s="122">
        <v>-17.899999999999999</v>
      </c>
      <c r="F111" s="122">
        <v>-19.600000000000001</v>
      </c>
      <c r="G111" s="122">
        <v>-11.2</v>
      </c>
      <c r="H111" s="122">
        <v>-5.6</v>
      </c>
      <c r="I111" s="122">
        <v>4</v>
      </c>
      <c r="J111" s="122">
        <v>19.399999999999999</v>
      </c>
      <c r="K111" s="122">
        <v>38.200000000000003</v>
      </c>
      <c r="L111" s="122">
        <v>36.6</v>
      </c>
      <c r="M111" s="122">
        <v>-11</v>
      </c>
      <c r="N111" s="122">
        <v>-10.5</v>
      </c>
      <c r="O111" s="122">
        <v>-15</v>
      </c>
      <c r="P111" s="122">
        <v>-18</v>
      </c>
      <c r="Q111" s="122">
        <f>-2.5+6</f>
        <v>3.5</v>
      </c>
      <c r="R111" s="122">
        <v>-18</v>
      </c>
      <c r="S111" s="122">
        <v>13</v>
      </c>
      <c r="T111" s="122">
        <v>8.1</v>
      </c>
      <c r="U111" s="122">
        <v>3</v>
      </c>
      <c r="V111" s="122">
        <v>-2</v>
      </c>
      <c r="W111" s="122">
        <v>21</v>
      </c>
      <c r="X111" s="122">
        <v>34</v>
      </c>
      <c r="Y111" s="122">
        <v>31</v>
      </c>
      <c r="Z111" s="122">
        <v>44</v>
      </c>
      <c r="AA111" s="122">
        <v>45</v>
      </c>
      <c r="AB111" s="122">
        <f>-2.1+16.8</f>
        <v>14.700000000000001</v>
      </c>
      <c r="AC111" s="122">
        <v>5</v>
      </c>
      <c r="AD111" s="122">
        <v>-15</v>
      </c>
      <c r="AE111" s="122">
        <v>-20</v>
      </c>
      <c r="AF111" s="122">
        <v>-33</v>
      </c>
      <c r="AG111" s="121">
        <v>240</v>
      </c>
      <c r="AH111" s="52">
        <f t="shared" si="13"/>
        <v>45</v>
      </c>
      <c r="AI111" s="53">
        <f t="shared" si="14"/>
        <v>-35</v>
      </c>
    </row>
    <row r="112" spans="1:88" x14ac:dyDescent="0.25">
      <c r="A112" s="110" t="s">
        <v>120</v>
      </c>
      <c r="B112" s="122">
        <v>16.399999999999999</v>
      </c>
      <c r="C112" s="122">
        <v>17.2</v>
      </c>
      <c r="D112" s="122">
        <v>30</v>
      </c>
      <c r="E112" s="122">
        <v>28</v>
      </c>
      <c r="F112" s="122">
        <v>33.9</v>
      </c>
      <c r="G112" s="122">
        <v>38.6</v>
      </c>
      <c r="H112" s="122">
        <v>39.1</v>
      </c>
      <c r="I112" s="122">
        <v>40.299999999999997</v>
      </c>
      <c r="J112" s="122">
        <v>43.5</v>
      </c>
      <c r="K112" s="122">
        <v>51</v>
      </c>
      <c r="L112" s="122">
        <v>48.4</v>
      </c>
      <c r="M112" s="122">
        <v>49.6</v>
      </c>
      <c r="N112" s="122">
        <v>46.9</v>
      </c>
      <c r="O112" s="122">
        <v>46.5</v>
      </c>
      <c r="P112" s="122">
        <v>44.7</v>
      </c>
      <c r="Q112" s="122">
        <v>41.3</v>
      </c>
      <c r="R112" s="122">
        <v>37.299999999999997</v>
      </c>
      <c r="S112" s="122">
        <v>45</v>
      </c>
      <c r="T112" s="122">
        <v>42.9</v>
      </c>
      <c r="U112" s="122">
        <v>40.4</v>
      </c>
      <c r="V112" s="122">
        <v>44.5</v>
      </c>
      <c r="W112" s="122">
        <v>33</v>
      </c>
      <c r="X112" s="122">
        <v>53</v>
      </c>
      <c r="Y112" s="122">
        <v>42.8</v>
      </c>
      <c r="Z112" s="122">
        <v>58</v>
      </c>
      <c r="AA112" s="122">
        <v>51</v>
      </c>
      <c r="AB112" s="122">
        <v>46.6</v>
      </c>
      <c r="AC112" s="122">
        <v>39</v>
      </c>
      <c r="AD112" s="122">
        <v>32</v>
      </c>
      <c r="AE112" s="122">
        <v>33</v>
      </c>
      <c r="AF112" s="122">
        <v>26</v>
      </c>
      <c r="AG112" s="121">
        <v>60</v>
      </c>
      <c r="AH112" s="52">
        <f t="shared" si="13"/>
        <v>58</v>
      </c>
      <c r="AI112" s="53">
        <f t="shared" si="14"/>
        <v>16.399999999999999</v>
      </c>
    </row>
    <row r="113" spans="1:37" x14ac:dyDescent="0.25">
      <c r="A113" s="123" t="s">
        <v>121</v>
      </c>
      <c r="B113" s="124">
        <v>82</v>
      </c>
      <c r="C113" s="124">
        <v>73.8</v>
      </c>
      <c r="D113" s="124">
        <v>89</v>
      </c>
      <c r="E113" s="124">
        <v>99.9</v>
      </c>
      <c r="F113" s="124">
        <v>89.4</v>
      </c>
      <c r="G113" s="124">
        <v>105.3</v>
      </c>
      <c r="H113" s="124">
        <v>114.2</v>
      </c>
      <c r="I113" s="124">
        <v>108</v>
      </c>
      <c r="J113" s="124">
        <v>118.2</v>
      </c>
      <c r="K113" s="124">
        <v>120</v>
      </c>
      <c r="L113" s="124">
        <v>120.3</v>
      </c>
      <c r="M113" s="124">
        <v>113</v>
      </c>
      <c r="N113" s="124">
        <v>105.7</v>
      </c>
      <c r="O113" s="124">
        <v>111.5</v>
      </c>
      <c r="P113" s="124">
        <v>110.8</v>
      </c>
      <c r="Q113" s="124">
        <v>98.1</v>
      </c>
      <c r="R113" s="124">
        <v>117.1</v>
      </c>
      <c r="S113" s="124">
        <v>109</v>
      </c>
      <c r="T113" s="124">
        <v>113.3</v>
      </c>
      <c r="U113" s="124">
        <v>104.2</v>
      </c>
      <c r="V113" s="124">
        <v>86.8</v>
      </c>
      <c r="W113" s="124">
        <v>93</v>
      </c>
      <c r="X113" s="124">
        <v>118</v>
      </c>
      <c r="Y113" s="124">
        <v>116</v>
      </c>
      <c r="Z113" s="124">
        <v>117</v>
      </c>
      <c r="AA113" s="124">
        <v>110</v>
      </c>
      <c r="AB113" s="124">
        <v>99</v>
      </c>
      <c r="AC113" s="124">
        <v>103</v>
      </c>
      <c r="AD113" s="124">
        <v>94</v>
      </c>
      <c r="AE113" s="124">
        <v>95</v>
      </c>
      <c r="AF113" s="124">
        <v>93</v>
      </c>
      <c r="AG113" s="125">
        <v>120</v>
      </c>
      <c r="AH113" s="52">
        <f t="shared" si="13"/>
        <v>120.3</v>
      </c>
      <c r="AI113" s="53">
        <f t="shared" si="14"/>
        <v>73.8</v>
      </c>
    </row>
    <row r="114" spans="1:37" x14ac:dyDescent="0.25">
      <c r="A114" s="123" t="s">
        <v>122</v>
      </c>
      <c r="B114" s="124">
        <v>91</v>
      </c>
      <c r="C114" s="124">
        <v>84.7</v>
      </c>
      <c r="D114" s="124">
        <v>99.6</v>
      </c>
      <c r="E114" s="124">
        <v>107.2</v>
      </c>
      <c r="F114" s="124">
        <v>95.5</v>
      </c>
      <c r="G114" s="124">
        <v>103</v>
      </c>
      <c r="H114" s="124">
        <v>110.8</v>
      </c>
      <c r="I114" s="124">
        <v>99.7</v>
      </c>
      <c r="J114" s="124">
        <v>100.6</v>
      </c>
      <c r="K114" s="124">
        <v>92.5</v>
      </c>
      <c r="L114" s="124">
        <v>90.7</v>
      </c>
      <c r="M114" s="124">
        <v>91.1</v>
      </c>
      <c r="N114" s="124">
        <v>82.2</v>
      </c>
      <c r="O114" s="124">
        <v>98.8</v>
      </c>
      <c r="P114" s="124">
        <v>98.8</v>
      </c>
      <c r="Q114" s="124">
        <v>102.1</v>
      </c>
      <c r="R114" s="124">
        <v>110</v>
      </c>
      <c r="S114" s="124">
        <v>103</v>
      </c>
      <c r="T114" s="124">
        <v>109.7</v>
      </c>
      <c r="U114" s="124">
        <v>103.1</v>
      </c>
      <c r="V114" s="124">
        <v>92</v>
      </c>
      <c r="W114" s="124">
        <v>76</v>
      </c>
      <c r="X114" s="124">
        <v>91</v>
      </c>
      <c r="Y114" s="124">
        <v>91</v>
      </c>
      <c r="Z114" s="124">
        <v>91</v>
      </c>
      <c r="AA114" s="124">
        <v>89</v>
      </c>
      <c r="AB114" s="124">
        <v>90</v>
      </c>
      <c r="AC114" s="124">
        <v>90</v>
      </c>
      <c r="AD114" s="124">
        <v>92</v>
      </c>
      <c r="AE114" s="124">
        <v>100</v>
      </c>
      <c r="AF114" s="124">
        <v>100</v>
      </c>
      <c r="AG114" s="125"/>
      <c r="AH114" s="52">
        <f t="shared" si="13"/>
        <v>110.8</v>
      </c>
      <c r="AI114" s="53">
        <f t="shared" si="14"/>
        <v>76</v>
      </c>
    </row>
    <row r="115" spans="1:37" x14ac:dyDescent="0.25">
      <c r="A115" s="123" t="s">
        <v>123</v>
      </c>
      <c r="B115" s="124">
        <v>46.5</v>
      </c>
      <c r="C115" s="124">
        <v>43.4</v>
      </c>
      <c r="D115" s="124"/>
      <c r="E115" s="124"/>
      <c r="F115" s="124"/>
      <c r="G115" s="124"/>
      <c r="H115" s="124"/>
      <c r="I115" s="124">
        <v>57.8</v>
      </c>
      <c r="J115" s="124"/>
      <c r="K115" s="124">
        <v>54.9</v>
      </c>
      <c r="L115" s="124">
        <v>46.6</v>
      </c>
      <c r="M115" s="124">
        <v>38.299999999999997</v>
      </c>
      <c r="N115" s="124">
        <v>27.5</v>
      </c>
      <c r="O115" s="124">
        <v>28.7</v>
      </c>
      <c r="P115" s="124">
        <v>32.700000000000003</v>
      </c>
      <c r="Q115" s="124">
        <v>22</v>
      </c>
      <c r="R115" s="124">
        <v>32.1</v>
      </c>
      <c r="S115" s="124">
        <v>32</v>
      </c>
      <c r="T115" s="124">
        <v>33.9</v>
      </c>
      <c r="U115" s="124">
        <v>31.1</v>
      </c>
      <c r="V115" s="124">
        <v>19</v>
      </c>
      <c r="W115" s="124"/>
      <c r="X115" s="124">
        <v>29</v>
      </c>
      <c r="Y115" s="124">
        <v>25</v>
      </c>
      <c r="Z115" s="124"/>
      <c r="AA115" s="124"/>
      <c r="AB115" s="124"/>
      <c r="AC115" s="124"/>
      <c r="AD115" s="124"/>
      <c r="AE115" s="124"/>
      <c r="AF115" s="124"/>
      <c r="AG115" s="126"/>
      <c r="AH115" s="52">
        <f t="shared" si="13"/>
        <v>57.8</v>
      </c>
      <c r="AI115" s="53">
        <f t="shared" si="14"/>
        <v>19</v>
      </c>
    </row>
    <row r="116" spans="1:37" x14ac:dyDescent="0.25">
      <c r="A116" s="127" t="s">
        <v>124</v>
      </c>
      <c r="B116" s="113">
        <v>2.2000000000000002</v>
      </c>
      <c r="C116" s="113">
        <v>1.9</v>
      </c>
      <c r="D116" s="113">
        <v>6.4</v>
      </c>
      <c r="E116" s="113">
        <v>7.5</v>
      </c>
      <c r="F116" s="113">
        <v>6.8</v>
      </c>
      <c r="G116" s="113">
        <v>3.7</v>
      </c>
      <c r="H116" s="113">
        <v>-3.9</v>
      </c>
      <c r="I116" s="113">
        <v>-8.1999999999999993</v>
      </c>
      <c r="J116" s="113">
        <v>-13.5</v>
      </c>
      <c r="K116" s="113">
        <v>-15.2</v>
      </c>
      <c r="L116" s="113">
        <v>-17.7</v>
      </c>
      <c r="M116" s="113">
        <v>-11.2</v>
      </c>
      <c r="N116" s="113">
        <v>-10.8</v>
      </c>
      <c r="O116" s="113">
        <v>-9</v>
      </c>
      <c r="P116" s="113">
        <v>-7.3</v>
      </c>
      <c r="Q116" s="113">
        <v>-8.6</v>
      </c>
      <c r="R116" s="113">
        <v>-10.4</v>
      </c>
      <c r="S116" s="113">
        <v>-16</v>
      </c>
      <c r="T116" s="113">
        <v>-16.899999999999999</v>
      </c>
      <c r="U116" s="113">
        <v>-19.600000000000001</v>
      </c>
      <c r="V116" s="113">
        <v>-14</v>
      </c>
      <c r="W116" s="113">
        <v>-26.4</v>
      </c>
      <c r="X116" s="113">
        <v>-34</v>
      </c>
      <c r="Y116" s="113">
        <v>-40</v>
      </c>
      <c r="Z116" s="113">
        <v>-40</v>
      </c>
      <c r="AA116" s="113">
        <v>-33</v>
      </c>
      <c r="AB116" s="113">
        <v>-26.6</v>
      </c>
      <c r="AC116" s="113">
        <v>-20</v>
      </c>
      <c r="AD116" s="113">
        <v>-13</v>
      </c>
      <c r="AE116" s="113">
        <v>-12</v>
      </c>
      <c r="AF116" s="113">
        <v>-8</v>
      </c>
      <c r="AG116" s="126"/>
      <c r="AH116" s="52">
        <f t="shared" si="13"/>
        <v>7.5</v>
      </c>
      <c r="AI116" s="53">
        <f t="shared" si="14"/>
        <v>-40</v>
      </c>
    </row>
    <row r="117" spans="1:37" ht="15.75" thickBot="1" x14ac:dyDescent="0.3">
      <c r="A117" s="127" t="s">
        <v>125</v>
      </c>
      <c r="B117" s="113">
        <v>76.2</v>
      </c>
      <c r="C117" s="113">
        <v>74</v>
      </c>
      <c r="D117" s="113">
        <v>67.3</v>
      </c>
      <c r="E117" s="113">
        <v>64.2</v>
      </c>
      <c r="F117" s="113">
        <v>67.099999999999994</v>
      </c>
      <c r="G117" s="113">
        <v>71.599999999999994</v>
      </c>
      <c r="H117" s="113">
        <v>70.5</v>
      </c>
      <c r="I117" s="113">
        <v>82.2</v>
      </c>
      <c r="J117" s="113">
        <v>85.2</v>
      </c>
      <c r="K117" s="113">
        <v>91.7</v>
      </c>
      <c r="L117" s="113">
        <v>102.4</v>
      </c>
      <c r="M117" s="113">
        <v>94.8</v>
      </c>
      <c r="N117" s="113">
        <v>89</v>
      </c>
      <c r="O117" s="113">
        <v>90.6</v>
      </c>
      <c r="P117" s="113">
        <v>86.7</v>
      </c>
      <c r="Q117" s="113">
        <v>91.2</v>
      </c>
      <c r="R117" s="113">
        <v>84.6</v>
      </c>
      <c r="S117" s="113">
        <v>94</v>
      </c>
      <c r="T117" s="113">
        <v>101.4</v>
      </c>
      <c r="U117" s="113">
        <v>100</v>
      </c>
      <c r="V117" s="113">
        <v>93</v>
      </c>
      <c r="W117" s="113">
        <v>93</v>
      </c>
      <c r="X117" s="113">
        <v>94</v>
      </c>
      <c r="Y117" s="113">
        <v>105</v>
      </c>
      <c r="Z117" s="113">
        <v>111</v>
      </c>
      <c r="AA117" s="113">
        <v>107</v>
      </c>
      <c r="AB117" s="113">
        <v>106.2</v>
      </c>
      <c r="AC117" s="113">
        <v>101</v>
      </c>
      <c r="AD117" s="113">
        <v>100</v>
      </c>
      <c r="AE117" s="113">
        <v>95</v>
      </c>
      <c r="AF117" s="113">
        <v>80</v>
      </c>
      <c r="AG117" s="126"/>
      <c r="AH117" s="52">
        <f t="shared" si="13"/>
        <v>111</v>
      </c>
      <c r="AI117" s="53">
        <f t="shared" si="14"/>
        <v>64.2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25">SUM(B119:B223)</f>
        <v>0</v>
      </c>
      <c r="C224" s="144">
        <f t="shared" si="25"/>
        <v>0</v>
      </c>
      <c r="D224" s="144">
        <f t="shared" si="25"/>
        <v>0</v>
      </c>
      <c r="E224" s="144">
        <f t="shared" si="25"/>
        <v>0</v>
      </c>
      <c r="F224" s="144">
        <f t="shared" si="25"/>
        <v>0</v>
      </c>
      <c r="G224" s="144">
        <f t="shared" si="25"/>
        <v>0</v>
      </c>
      <c r="H224" s="144">
        <f t="shared" si="25"/>
        <v>0</v>
      </c>
      <c r="I224" s="144">
        <f t="shared" si="25"/>
        <v>0</v>
      </c>
      <c r="J224" s="144">
        <f t="shared" si="25"/>
        <v>0</v>
      </c>
      <c r="K224" s="144">
        <f t="shared" si="25"/>
        <v>0</v>
      </c>
      <c r="L224" s="144">
        <f t="shared" si="25"/>
        <v>0</v>
      </c>
      <c r="M224" s="144">
        <f t="shared" si="25"/>
        <v>0</v>
      </c>
      <c r="N224" s="144">
        <f t="shared" si="25"/>
        <v>0</v>
      </c>
      <c r="O224" s="144">
        <f t="shared" si="25"/>
        <v>0</v>
      </c>
      <c r="P224" s="144">
        <f t="shared" si="25"/>
        <v>0</v>
      </c>
      <c r="Q224" s="144">
        <f t="shared" si="25"/>
        <v>0</v>
      </c>
      <c r="R224" s="144">
        <f t="shared" si="25"/>
        <v>0</v>
      </c>
      <c r="S224" s="144">
        <f t="shared" si="25"/>
        <v>0</v>
      </c>
      <c r="T224" s="144">
        <f t="shared" si="25"/>
        <v>0</v>
      </c>
      <c r="U224" s="144">
        <f t="shared" si="25"/>
        <v>0</v>
      </c>
      <c r="V224" s="144">
        <f t="shared" si="25"/>
        <v>0</v>
      </c>
      <c r="W224" s="144">
        <f t="shared" si="25"/>
        <v>0</v>
      </c>
      <c r="X224" s="144">
        <f t="shared" si="25"/>
        <v>0</v>
      </c>
      <c r="Y224" s="144">
        <f t="shared" si="25"/>
        <v>0</v>
      </c>
      <c r="Z224" s="144">
        <f t="shared" si="25"/>
        <v>0</v>
      </c>
      <c r="AA224" s="144">
        <f t="shared" si="25"/>
        <v>0</v>
      </c>
      <c r="AB224" s="144">
        <f t="shared" si="25"/>
        <v>0</v>
      </c>
      <c r="AC224" s="144">
        <f t="shared" si="25"/>
        <v>0</v>
      </c>
      <c r="AD224" s="144">
        <f t="shared" si="25"/>
        <v>0</v>
      </c>
      <c r="AE224" s="144">
        <f t="shared" si="25"/>
        <v>0</v>
      </c>
      <c r="AF224" s="145">
        <f t="shared" si="25"/>
        <v>0</v>
      </c>
      <c r="AG224" s="146">
        <f t="shared" si="25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26">AF226</f>
        <v>0</v>
      </c>
      <c r="C226" s="149">
        <v>0.3</v>
      </c>
      <c r="D226" s="149">
        <f t="shared" ref="D226:P231" si="27">C226</f>
        <v>0.3</v>
      </c>
      <c r="E226" s="149">
        <f t="shared" si="27"/>
        <v>0.3</v>
      </c>
      <c r="F226" s="149">
        <f t="shared" si="27"/>
        <v>0.3</v>
      </c>
      <c r="G226" s="149">
        <f t="shared" si="27"/>
        <v>0.3</v>
      </c>
      <c r="H226" s="149">
        <f t="shared" si="27"/>
        <v>0.3</v>
      </c>
      <c r="I226" s="149">
        <f t="shared" si="27"/>
        <v>0.3</v>
      </c>
      <c r="J226" s="149">
        <f t="shared" si="27"/>
        <v>0.3</v>
      </c>
      <c r="K226" s="149">
        <f t="shared" si="27"/>
        <v>0.3</v>
      </c>
      <c r="L226" s="149">
        <f t="shared" si="27"/>
        <v>0.3</v>
      </c>
      <c r="M226" s="149">
        <f t="shared" si="27"/>
        <v>0.3</v>
      </c>
      <c r="N226" s="149">
        <f t="shared" si="27"/>
        <v>0.3</v>
      </c>
      <c r="O226" s="149">
        <f t="shared" si="27"/>
        <v>0.3</v>
      </c>
      <c r="P226" s="149">
        <f t="shared" si="27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26"/>
        <v>0</v>
      </c>
      <c r="C227" s="136">
        <v>0.4</v>
      </c>
      <c r="D227" s="136">
        <f t="shared" si="27"/>
        <v>0.4</v>
      </c>
      <c r="E227" s="136">
        <f t="shared" si="27"/>
        <v>0.4</v>
      </c>
      <c r="F227" s="136">
        <f t="shared" si="27"/>
        <v>0.4</v>
      </c>
      <c r="G227" s="136">
        <f t="shared" si="27"/>
        <v>0.4</v>
      </c>
      <c r="H227" s="136">
        <f t="shared" si="27"/>
        <v>0.4</v>
      </c>
      <c r="I227" s="136">
        <f t="shared" si="27"/>
        <v>0.4</v>
      </c>
      <c r="J227" s="136">
        <f t="shared" si="27"/>
        <v>0.4</v>
      </c>
      <c r="K227" s="136">
        <f t="shared" si="27"/>
        <v>0.4</v>
      </c>
      <c r="L227" s="136">
        <f t="shared" si="27"/>
        <v>0.4</v>
      </c>
      <c r="M227" s="136">
        <f t="shared" si="27"/>
        <v>0.4</v>
      </c>
      <c r="N227" s="136">
        <f t="shared" si="27"/>
        <v>0.4</v>
      </c>
      <c r="O227" s="136">
        <f t="shared" si="27"/>
        <v>0.4</v>
      </c>
      <c r="P227" s="136">
        <f t="shared" si="27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26"/>
        <v>0</v>
      </c>
      <c r="C228" s="136">
        <v>1.5</v>
      </c>
      <c r="D228" s="136">
        <f t="shared" si="27"/>
        <v>1.5</v>
      </c>
      <c r="E228" s="136">
        <f t="shared" si="27"/>
        <v>1.5</v>
      </c>
      <c r="F228" s="136">
        <f t="shared" si="27"/>
        <v>1.5</v>
      </c>
      <c r="G228" s="136">
        <f t="shared" si="27"/>
        <v>1.5</v>
      </c>
      <c r="H228" s="136">
        <f t="shared" si="27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27"/>
        <v>1.5</v>
      </c>
      <c r="K228" s="136">
        <f t="shared" ca="1" si="27"/>
        <v>1.5</v>
      </c>
      <c r="L228" s="136">
        <f t="shared" ca="1" si="27"/>
        <v>1.5</v>
      </c>
      <c r="M228" s="136">
        <f t="shared" ca="1" si="27"/>
        <v>1.5</v>
      </c>
      <c r="N228" s="136">
        <f t="shared" ca="1" si="27"/>
        <v>1.5</v>
      </c>
      <c r="O228" s="136">
        <f t="shared" ca="1" si="27"/>
        <v>1.5</v>
      </c>
      <c r="P228" s="136">
        <f t="shared" ca="1" si="27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26"/>
        <v>0</v>
      </c>
      <c r="C229" s="136">
        <v>0.3</v>
      </c>
      <c r="D229" s="136">
        <f t="shared" si="27"/>
        <v>0.3</v>
      </c>
      <c r="E229" s="136">
        <f t="shared" si="27"/>
        <v>0.3</v>
      </c>
      <c r="F229" s="136">
        <f t="shared" si="27"/>
        <v>0.3</v>
      </c>
      <c r="G229" s="136">
        <f t="shared" si="27"/>
        <v>0.3</v>
      </c>
      <c r="H229" s="136">
        <f t="shared" si="27"/>
        <v>0.3</v>
      </c>
      <c r="I229" s="136">
        <f t="shared" si="27"/>
        <v>0.3</v>
      </c>
      <c r="J229" s="136">
        <f t="shared" si="27"/>
        <v>0.3</v>
      </c>
      <c r="K229" s="136">
        <f t="shared" si="27"/>
        <v>0.3</v>
      </c>
      <c r="L229" s="136">
        <f t="shared" si="27"/>
        <v>0.3</v>
      </c>
      <c r="M229" s="136">
        <f t="shared" si="27"/>
        <v>0.3</v>
      </c>
      <c r="N229" s="136">
        <f t="shared" si="27"/>
        <v>0.3</v>
      </c>
      <c r="O229" s="136">
        <f t="shared" si="27"/>
        <v>0.3</v>
      </c>
      <c r="P229" s="136">
        <f t="shared" si="27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26"/>
        <v>0</v>
      </c>
      <c r="C230" s="136">
        <v>0.4</v>
      </c>
      <c r="D230" s="136">
        <f t="shared" si="27"/>
        <v>0.4</v>
      </c>
      <c r="E230" s="136">
        <f t="shared" si="27"/>
        <v>0.4</v>
      </c>
      <c r="F230" s="136">
        <f t="shared" si="27"/>
        <v>0.4</v>
      </c>
      <c r="G230" s="136">
        <f t="shared" si="27"/>
        <v>0.4</v>
      </c>
      <c r="H230" s="136">
        <f t="shared" si="27"/>
        <v>0.4</v>
      </c>
      <c r="I230" s="136">
        <f t="shared" si="27"/>
        <v>0.4</v>
      </c>
      <c r="J230" s="136">
        <f t="shared" si="27"/>
        <v>0.4</v>
      </c>
      <c r="K230" s="136">
        <f t="shared" si="27"/>
        <v>0.4</v>
      </c>
      <c r="L230" s="136">
        <f t="shared" si="27"/>
        <v>0.4</v>
      </c>
      <c r="M230" s="136">
        <f t="shared" si="27"/>
        <v>0.4</v>
      </c>
      <c r="N230" s="136">
        <f t="shared" si="27"/>
        <v>0.4</v>
      </c>
      <c r="O230" s="136">
        <f t="shared" si="27"/>
        <v>0.4</v>
      </c>
      <c r="P230" s="136">
        <f t="shared" si="27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26"/>
        <v>0</v>
      </c>
      <c r="C231" s="140">
        <v>0.64</v>
      </c>
      <c r="D231" s="140">
        <f t="shared" si="27"/>
        <v>0.64</v>
      </c>
      <c r="E231" s="140">
        <f t="shared" si="27"/>
        <v>0.64</v>
      </c>
      <c r="F231" s="140">
        <f t="shared" si="27"/>
        <v>0.64</v>
      </c>
      <c r="G231" s="140">
        <f t="shared" si="27"/>
        <v>0.64</v>
      </c>
      <c r="H231" s="140">
        <f t="shared" si="27"/>
        <v>0.64</v>
      </c>
      <c r="I231" s="140">
        <f t="shared" si="27"/>
        <v>0.64</v>
      </c>
      <c r="J231" s="140">
        <f t="shared" si="27"/>
        <v>0.64</v>
      </c>
      <c r="K231" s="140">
        <f t="shared" si="27"/>
        <v>0.64</v>
      </c>
      <c r="L231" s="140">
        <f t="shared" si="27"/>
        <v>0.64</v>
      </c>
      <c r="M231" s="140">
        <f t="shared" si="27"/>
        <v>0.64</v>
      </c>
      <c r="N231" s="140">
        <f t="shared" si="27"/>
        <v>0.64</v>
      </c>
      <c r="O231" s="140">
        <f t="shared" si="27"/>
        <v>0.64</v>
      </c>
      <c r="P231" s="140">
        <f t="shared" si="27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28">SUM(B226:B231)</f>
        <v>0</v>
      </c>
      <c r="C232" s="144">
        <f t="shared" si="28"/>
        <v>3.54</v>
      </c>
      <c r="D232" s="144">
        <f t="shared" si="28"/>
        <v>3.54</v>
      </c>
      <c r="E232" s="144">
        <f t="shared" si="28"/>
        <v>3.54</v>
      </c>
      <c r="F232" s="144">
        <f t="shared" si="28"/>
        <v>3.54</v>
      </c>
      <c r="G232" s="144">
        <f t="shared" si="28"/>
        <v>3.54</v>
      </c>
      <c r="H232" s="144">
        <f t="shared" si="28"/>
        <v>3.54</v>
      </c>
      <c r="I232" s="144">
        <f t="shared" ca="1" si="28"/>
        <v>3.54</v>
      </c>
      <c r="J232" s="144">
        <f t="shared" ca="1" si="28"/>
        <v>3.54</v>
      </c>
      <c r="K232" s="144">
        <f t="shared" ca="1" si="28"/>
        <v>3.54</v>
      </c>
      <c r="L232" s="144">
        <f t="shared" ca="1" si="28"/>
        <v>3.54</v>
      </c>
      <c r="M232" s="144">
        <f t="shared" ca="1" si="28"/>
        <v>3.54</v>
      </c>
      <c r="N232" s="144">
        <f t="shared" ca="1" si="28"/>
        <v>3.54</v>
      </c>
      <c r="O232" s="144">
        <f t="shared" ca="1" si="28"/>
        <v>3.54</v>
      </c>
      <c r="P232" s="144">
        <f t="shared" ca="1" si="28"/>
        <v>3.54</v>
      </c>
      <c r="Q232" s="144">
        <f t="shared" si="28"/>
        <v>0</v>
      </c>
      <c r="R232" s="144">
        <f t="shared" si="28"/>
        <v>0</v>
      </c>
      <c r="S232" s="144">
        <f t="shared" si="28"/>
        <v>0</v>
      </c>
      <c r="T232" s="144">
        <f t="shared" si="28"/>
        <v>0</v>
      </c>
      <c r="U232" s="144">
        <f t="shared" si="28"/>
        <v>0</v>
      </c>
      <c r="V232" s="144">
        <f t="shared" si="28"/>
        <v>0</v>
      </c>
      <c r="W232" s="144">
        <f t="shared" si="28"/>
        <v>0</v>
      </c>
      <c r="X232" s="144">
        <f t="shared" si="28"/>
        <v>0</v>
      </c>
      <c r="Y232" s="144">
        <f t="shared" si="28"/>
        <v>0</v>
      </c>
      <c r="Z232" s="144">
        <f t="shared" si="28"/>
        <v>0</v>
      </c>
      <c r="AA232" s="144">
        <f t="shared" si="28"/>
        <v>0</v>
      </c>
      <c r="AB232" s="144">
        <f t="shared" si="28"/>
        <v>0</v>
      </c>
      <c r="AC232" s="144">
        <f t="shared" si="28"/>
        <v>0</v>
      </c>
      <c r="AD232" s="144">
        <f t="shared" si="28"/>
        <v>0</v>
      </c>
      <c r="AE232" s="144">
        <f t="shared" si="28"/>
        <v>0</v>
      </c>
      <c r="AF232" s="144">
        <f t="shared" si="28"/>
        <v>0</v>
      </c>
      <c r="AG232" s="154">
        <f t="shared" si="28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1369.04</v>
      </c>
      <c r="C241" s="170">
        <f>INDEX(G9:N9,1,MATCH(MAX(G89:N89),G89:N89,0))</f>
        <v>0.375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11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2079/12/11)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2079/12/11)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29">B89</f>
        <v>1103.44</v>
      </c>
      <c r="U246" s="180">
        <f t="shared" si="29"/>
        <v>1064.1399999999999</v>
      </c>
      <c r="V246" s="180">
        <f t="shared" si="29"/>
        <v>1071.1399999999999</v>
      </c>
      <c r="W246" s="180">
        <f t="shared" si="29"/>
        <v>1077.3400000000001</v>
      </c>
      <c r="X246" s="180">
        <f t="shared" si="29"/>
        <v>1063.74</v>
      </c>
      <c r="Y246" s="180">
        <f t="shared" si="29"/>
        <v>1101.94</v>
      </c>
      <c r="Z246" s="180">
        <f t="shared" si="29"/>
        <v>1138.44</v>
      </c>
      <c r="AA246" s="180">
        <f t="shared" si="29"/>
        <v>1184.6400000000001</v>
      </c>
      <c r="AB246" s="180">
        <f t="shared" si="29"/>
        <v>1198.1399999999999</v>
      </c>
      <c r="AC246" s="180">
        <f t="shared" si="29"/>
        <v>1221.1399999999999</v>
      </c>
      <c r="AD246" s="180">
        <f t="shared" si="29"/>
        <v>1346.74</v>
      </c>
      <c r="AE246" s="180">
        <f t="shared" si="29"/>
        <v>1317.8400000000001</v>
      </c>
      <c r="AF246" s="180">
        <f t="shared" si="29"/>
        <v>1369.04</v>
      </c>
      <c r="AG246" s="180">
        <f t="shared" si="29"/>
        <v>1410.1399999999999</v>
      </c>
      <c r="AH246" s="180">
        <f t="shared" si="29"/>
        <v>1347.6399999999999</v>
      </c>
      <c r="AI246" s="180">
        <f t="shared" si="29"/>
        <v>1343.34</v>
      </c>
      <c r="AJ246" s="180">
        <f t="shared" si="29"/>
        <v>1287.54</v>
      </c>
      <c r="AK246" s="180">
        <f t="shared" si="29"/>
        <v>1356.7399999999998</v>
      </c>
      <c r="AL246" s="180">
        <f t="shared" si="29"/>
        <v>1371.8399999999997</v>
      </c>
      <c r="AM246" s="180">
        <f t="shared" si="29"/>
        <v>1387.54</v>
      </c>
      <c r="AN246" s="180">
        <f t="shared" si="29"/>
        <v>1320.7399999999998</v>
      </c>
      <c r="AO246" s="180">
        <f t="shared" si="29"/>
        <v>1322.7399999999998</v>
      </c>
      <c r="AP246" s="180">
        <f t="shared" si="29"/>
        <v>1340.84</v>
      </c>
      <c r="AQ246" s="180">
        <f t="shared" si="29"/>
        <v>1396.04</v>
      </c>
      <c r="AR246" s="180">
        <f t="shared" si="29"/>
        <v>1560.44</v>
      </c>
      <c r="AS246" s="180">
        <f t="shared" si="29"/>
        <v>1518.04</v>
      </c>
      <c r="AT246" s="180">
        <f t="shared" si="29"/>
        <v>1445.44</v>
      </c>
      <c r="AU246" s="180">
        <f t="shared" si="29"/>
        <v>1388.1399999999999</v>
      </c>
      <c r="AV246" s="180">
        <f t="shared" si="29"/>
        <v>1286.04</v>
      </c>
      <c r="AW246" s="180">
        <f t="shared" si="29"/>
        <v>1228.04</v>
      </c>
      <c r="AX246" s="180">
        <f t="shared" si="29"/>
        <v>1196.04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30">C231</f>
        <v>0.64</v>
      </c>
      <c r="C267" s="183">
        <f t="shared" si="30"/>
        <v>0.64</v>
      </c>
      <c r="D267" s="183">
        <f t="shared" si="30"/>
        <v>0.64</v>
      </c>
      <c r="E267" s="183">
        <f t="shared" si="30"/>
        <v>0.64</v>
      </c>
      <c r="F267" s="183">
        <f t="shared" si="30"/>
        <v>0.64</v>
      </c>
      <c r="G267" s="183">
        <f t="shared" si="30"/>
        <v>0.64</v>
      </c>
      <c r="H267" s="183">
        <f t="shared" si="30"/>
        <v>0.64</v>
      </c>
      <c r="I267" s="183">
        <f t="shared" si="30"/>
        <v>0.64</v>
      </c>
      <c r="J267" s="183">
        <f t="shared" si="30"/>
        <v>0.64</v>
      </c>
      <c r="K267" s="183">
        <f t="shared" si="30"/>
        <v>0.64</v>
      </c>
      <c r="L267" s="183">
        <f t="shared" si="30"/>
        <v>0.64</v>
      </c>
      <c r="M267" s="183">
        <f t="shared" si="30"/>
        <v>0.64</v>
      </c>
      <c r="N267" s="183">
        <f t="shared" si="30"/>
        <v>0.64</v>
      </c>
      <c r="O267" s="183">
        <f t="shared" si="30"/>
        <v>0.64</v>
      </c>
      <c r="P267" s="183">
        <f t="shared" si="30"/>
        <v>0</v>
      </c>
      <c r="Q267" s="183">
        <f t="shared" si="30"/>
        <v>0</v>
      </c>
      <c r="R267" s="183">
        <f t="shared" si="30"/>
        <v>0</v>
      </c>
      <c r="S267" s="183">
        <f t="shared" si="30"/>
        <v>0</v>
      </c>
      <c r="T267" s="183">
        <f t="shared" si="30"/>
        <v>0</v>
      </c>
      <c r="U267" s="183">
        <f t="shared" si="30"/>
        <v>0</v>
      </c>
      <c r="V267" s="183">
        <f t="shared" si="30"/>
        <v>0</v>
      </c>
      <c r="W267" s="183">
        <f t="shared" si="30"/>
        <v>0</v>
      </c>
      <c r="X267" s="183">
        <f t="shared" si="30"/>
        <v>0</v>
      </c>
      <c r="Y267" s="183">
        <f t="shared" si="30"/>
        <v>0</v>
      </c>
      <c r="Z267" s="183">
        <f t="shared" si="30"/>
        <v>0</v>
      </c>
      <c r="AA267" s="183">
        <f t="shared" si="30"/>
        <v>0</v>
      </c>
      <c r="AB267" s="183">
        <f t="shared" si="30"/>
        <v>0</v>
      </c>
      <c r="AC267" s="183">
        <f t="shared" si="30"/>
        <v>0</v>
      </c>
      <c r="AD267" s="183">
        <f t="shared" si="30"/>
        <v>0</v>
      </c>
      <c r="AE267" s="183">
        <f t="shared" si="30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31">IF(B235&lt;100,"",B235-520)</f>
        <v/>
      </c>
      <c r="C268" s="184" t="str">
        <f t="shared" si="31"/>
        <v/>
      </c>
      <c r="D268" s="184" t="str">
        <f t="shared" si="31"/>
        <v/>
      </c>
      <c r="E268" s="184" t="str">
        <f t="shared" si="31"/>
        <v/>
      </c>
      <c r="F268" s="184" t="str">
        <f t="shared" si="31"/>
        <v/>
      </c>
      <c r="G268" s="184" t="str">
        <f t="shared" si="31"/>
        <v/>
      </c>
      <c r="H268" s="184" t="str">
        <f t="shared" si="31"/>
        <v/>
      </c>
      <c r="I268" s="184" t="str">
        <f t="shared" si="31"/>
        <v/>
      </c>
      <c r="J268" s="184" t="str">
        <f t="shared" si="31"/>
        <v/>
      </c>
      <c r="K268" s="184" t="str">
        <f t="shared" si="31"/>
        <v/>
      </c>
      <c r="L268" s="184" t="str">
        <f t="shared" si="31"/>
        <v/>
      </c>
      <c r="M268" s="184" t="str">
        <f t="shared" si="31"/>
        <v/>
      </c>
      <c r="N268" s="184" t="str">
        <f t="shared" si="31"/>
        <v/>
      </c>
      <c r="O268" s="184" t="str">
        <f t="shared" si="31"/>
        <v/>
      </c>
      <c r="P268" s="184" t="str">
        <f t="shared" si="31"/>
        <v/>
      </c>
      <c r="Q268" s="184" t="str">
        <f t="shared" si="31"/>
        <v/>
      </c>
      <c r="R268" s="184" t="str">
        <f t="shared" si="31"/>
        <v/>
      </c>
      <c r="S268" s="184" t="str">
        <f t="shared" si="31"/>
        <v/>
      </c>
      <c r="T268" s="184" t="str">
        <f t="shared" si="31"/>
        <v/>
      </c>
      <c r="U268" s="184" t="str">
        <f t="shared" si="31"/>
        <v/>
      </c>
      <c r="V268" s="184" t="str">
        <f t="shared" si="31"/>
        <v/>
      </c>
      <c r="W268" s="184" t="str">
        <f t="shared" si="31"/>
        <v/>
      </c>
      <c r="X268" s="184" t="str">
        <f t="shared" si="31"/>
        <v/>
      </c>
      <c r="Y268" s="184" t="str">
        <f t="shared" si="31"/>
        <v/>
      </c>
      <c r="Z268" s="184" t="str">
        <f t="shared" si="31"/>
        <v/>
      </c>
      <c r="AA268" s="184" t="str">
        <f t="shared" si="31"/>
        <v/>
      </c>
      <c r="AB268" s="184" t="str">
        <f t="shared" si="31"/>
        <v/>
      </c>
      <c r="AC268" s="184" t="str">
        <f t="shared" si="31"/>
        <v/>
      </c>
      <c r="AD268" s="184" t="str">
        <f t="shared" si="31"/>
        <v/>
      </c>
      <c r="AE268" s="184" t="str">
        <f t="shared" si="31"/>
        <v/>
      </c>
      <c r="AF268" s="184" t="str">
        <f t="shared" si="31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32">IF(B236&lt;100,"",B236-620)</f>
        <v/>
      </c>
      <c r="C269" s="184" t="str">
        <f t="shared" si="32"/>
        <v/>
      </c>
      <c r="D269" s="184" t="str">
        <f t="shared" si="32"/>
        <v/>
      </c>
      <c r="E269" s="184" t="str">
        <f t="shared" si="32"/>
        <v/>
      </c>
      <c r="F269" s="184" t="str">
        <f t="shared" si="32"/>
        <v/>
      </c>
      <c r="G269" s="184" t="str">
        <f t="shared" si="32"/>
        <v/>
      </c>
      <c r="H269" s="184" t="str">
        <f t="shared" si="32"/>
        <v/>
      </c>
      <c r="I269" s="184" t="str">
        <f t="shared" si="32"/>
        <v/>
      </c>
      <c r="J269" s="184" t="str">
        <f t="shared" si="32"/>
        <v/>
      </c>
      <c r="K269" s="184" t="str">
        <f t="shared" si="32"/>
        <v/>
      </c>
      <c r="L269" s="184" t="str">
        <f t="shared" si="32"/>
        <v/>
      </c>
      <c r="M269" s="184" t="str">
        <f t="shared" si="32"/>
        <v/>
      </c>
      <c r="N269" s="184" t="str">
        <f t="shared" si="32"/>
        <v/>
      </c>
      <c r="O269" s="184" t="str">
        <f t="shared" si="32"/>
        <v/>
      </c>
      <c r="P269" s="184" t="str">
        <f t="shared" si="32"/>
        <v/>
      </c>
      <c r="Q269" s="184" t="str">
        <f t="shared" si="32"/>
        <v/>
      </c>
      <c r="R269" s="184" t="str">
        <f t="shared" si="32"/>
        <v/>
      </c>
      <c r="S269" s="184" t="str">
        <f t="shared" si="32"/>
        <v/>
      </c>
      <c r="T269" s="184" t="str">
        <f t="shared" si="32"/>
        <v/>
      </c>
      <c r="U269" s="184" t="str">
        <f t="shared" si="32"/>
        <v/>
      </c>
      <c r="V269" s="184" t="str">
        <f t="shared" si="32"/>
        <v/>
      </c>
      <c r="W269" s="184" t="str">
        <f t="shared" si="32"/>
        <v/>
      </c>
      <c r="X269" s="184" t="str">
        <f t="shared" si="32"/>
        <v/>
      </c>
      <c r="Y269" s="184" t="str">
        <f t="shared" si="32"/>
        <v/>
      </c>
      <c r="Z269" s="184" t="str">
        <f t="shared" si="32"/>
        <v/>
      </c>
      <c r="AA269" s="184" t="str">
        <f t="shared" si="32"/>
        <v/>
      </c>
      <c r="AB269" s="184" t="str">
        <f t="shared" si="32"/>
        <v/>
      </c>
      <c r="AC269" s="184" t="str">
        <f t="shared" si="32"/>
        <v/>
      </c>
      <c r="AD269" s="184" t="str">
        <f t="shared" si="32"/>
        <v/>
      </c>
      <c r="AE269" s="184" t="str">
        <f t="shared" si="32"/>
        <v/>
      </c>
      <c r="AF269" s="184" t="str">
        <f t="shared" si="32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33">IF(B237&lt;100,"",B237-330)</f>
        <v/>
      </c>
      <c r="C270" s="184" t="str">
        <f t="shared" si="33"/>
        <v/>
      </c>
      <c r="D270" s="184" t="str">
        <f t="shared" si="33"/>
        <v/>
      </c>
      <c r="E270" s="184" t="str">
        <f t="shared" si="33"/>
        <v/>
      </c>
      <c r="F270" s="184" t="str">
        <f t="shared" si="33"/>
        <v/>
      </c>
      <c r="G270" s="184" t="str">
        <f t="shared" si="33"/>
        <v/>
      </c>
      <c r="H270" s="184" t="str">
        <f t="shared" si="33"/>
        <v/>
      </c>
      <c r="I270" s="184" t="str">
        <f t="shared" si="33"/>
        <v/>
      </c>
      <c r="J270" s="184" t="str">
        <f t="shared" si="33"/>
        <v/>
      </c>
      <c r="K270" s="184" t="str">
        <f t="shared" si="33"/>
        <v/>
      </c>
      <c r="L270" s="184" t="str">
        <f t="shared" si="33"/>
        <v/>
      </c>
      <c r="M270" s="184" t="str">
        <f t="shared" si="33"/>
        <v/>
      </c>
      <c r="N270" s="184" t="str">
        <f t="shared" si="33"/>
        <v/>
      </c>
      <c r="O270" s="184" t="str">
        <f t="shared" si="33"/>
        <v/>
      </c>
      <c r="P270" s="184" t="str">
        <f t="shared" si="33"/>
        <v/>
      </c>
      <c r="Q270" s="184" t="str">
        <f t="shared" si="33"/>
        <v/>
      </c>
      <c r="R270" s="184" t="str">
        <f t="shared" si="33"/>
        <v/>
      </c>
      <c r="S270" s="184" t="str">
        <f t="shared" si="33"/>
        <v/>
      </c>
      <c r="T270" s="184" t="str">
        <f t="shared" si="33"/>
        <v/>
      </c>
      <c r="U270" s="184" t="str">
        <f t="shared" si="33"/>
        <v/>
      </c>
      <c r="V270" s="184" t="str">
        <f t="shared" si="33"/>
        <v/>
      </c>
      <c r="W270" s="184" t="str">
        <f t="shared" si="33"/>
        <v/>
      </c>
      <c r="X270" s="184" t="str">
        <f t="shared" si="33"/>
        <v/>
      </c>
      <c r="Y270" s="184" t="str">
        <f t="shared" si="33"/>
        <v/>
      </c>
      <c r="Z270" s="184" t="str">
        <f t="shared" si="33"/>
        <v/>
      </c>
      <c r="AA270" s="184" t="str">
        <f t="shared" si="33"/>
        <v/>
      </c>
      <c r="AB270" s="184" t="str">
        <f t="shared" si="33"/>
        <v/>
      </c>
      <c r="AC270" s="184" t="str">
        <f t="shared" si="33"/>
        <v/>
      </c>
      <c r="AD270" s="184" t="str">
        <f t="shared" si="33"/>
        <v/>
      </c>
      <c r="AE270" s="184" t="str">
        <f t="shared" si="33"/>
        <v/>
      </c>
      <c r="AF270" s="184" t="str">
        <f t="shared" si="33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34">IF(B238&lt;100,"",B238-1500)</f>
        <v/>
      </c>
      <c r="C271" s="184" t="str">
        <f t="shared" si="34"/>
        <v/>
      </c>
      <c r="D271" s="184" t="str">
        <f t="shared" si="34"/>
        <v/>
      </c>
      <c r="E271" s="184" t="str">
        <f t="shared" si="34"/>
        <v/>
      </c>
      <c r="F271" s="184" t="str">
        <f t="shared" si="34"/>
        <v/>
      </c>
      <c r="G271" s="184" t="str">
        <f t="shared" si="34"/>
        <v/>
      </c>
      <c r="H271" s="184" t="str">
        <f t="shared" si="34"/>
        <v/>
      </c>
      <c r="I271" s="184" t="str">
        <f t="shared" si="34"/>
        <v/>
      </c>
      <c r="J271" s="184" t="str">
        <f t="shared" si="34"/>
        <v/>
      </c>
      <c r="K271" s="184" t="str">
        <f t="shared" si="34"/>
        <v/>
      </c>
      <c r="L271" s="184" t="str">
        <f t="shared" si="34"/>
        <v/>
      </c>
      <c r="M271" s="184" t="str">
        <f t="shared" si="34"/>
        <v/>
      </c>
      <c r="N271" s="184" t="str">
        <f t="shared" si="34"/>
        <v/>
      </c>
      <c r="O271" s="184" t="str">
        <f t="shared" si="34"/>
        <v/>
      </c>
      <c r="P271" s="184" t="str">
        <f t="shared" si="34"/>
        <v/>
      </c>
      <c r="Q271" s="184" t="str">
        <f t="shared" si="34"/>
        <v/>
      </c>
      <c r="R271" s="184" t="str">
        <f t="shared" si="34"/>
        <v/>
      </c>
      <c r="S271" s="184" t="str">
        <f t="shared" si="34"/>
        <v/>
      </c>
      <c r="T271" s="184" t="str">
        <f t="shared" si="34"/>
        <v/>
      </c>
      <c r="U271" s="184" t="str">
        <f t="shared" si="34"/>
        <v/>
      </c>
      <c r="V271" s="184" t="str">
        <f t="shared" si="34"/>
        <v/>
      </c>
      <c r="W271" s="184" t="str">
        <f t="shared" si="34"/>
        <v/>
      </c>
      <c r="X271" s="184" t="str">
        <f t="shared" si="34"/>
        <v/>
      </c>
      <c r="Y271" s="184" t="str">
        <f t="shared" si="34"/>
        <v/>
      </c>
      <c r="Z271" s="184" t="str">
        <f t="shared" si="34"/>
        <v/>
      </c>
      <c r="AA271" s="184" t="str">
        <f t="shared" si="34"/>
        <v/>
      </c>
      <c r="AB271" s="184" t="str">
        <f t="shared" si="34"/>
        <v/>
      </c>
      <c r="AC271" s="184" t="str">
        <f t="shared" si="34"/>
        <v/>
      </c>
      <c r="AD271" s="184" t="str">
        <f t="shared" si="34"/>
        <v/>
      </c>
      <c r="AE271" s="184" t="str">
        <f t="shared" si="34"/>
        <v/>
      </c>
      <c r="AF271" s="184" t="str">
        <f t="shared" si="34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6240" priority="344">
      <formula>B$9&gt;=20/24</formula>
    </cfRule>
    <cfRule type="expression" dxfId="6239" priority="345">
      <formula>AND(B$9&gt;=14/24,B$9&lt;20/24)</formula>
    </cfRule>
    <cfRule type="expression" dxfId="6238" priority="346">
      <formula>AND(B$9&gt;=8/24,B$9&lt;14/24)</formula>
    </cfRule>
    <cfRule type="expression" dxfId="6237" priority="347">
      <formula>B$9&lt;8/24</formula>
    </cfRule>
  </conditionalFormatting>
  <conditionalFormatting sqref="AL4:AL6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6236" priority="342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6235" priority="341">
      <formula>$AH12=0</formula>
    </cfRule>
  </conditionalFormatting>
  <conditionalFormatting sqref="A114">
    <cfRule type="expression" dxfId="6234" priority="340">
      <formula>$AH114=0</formula>
    </cfRule>
  </conditionalFormatting>
  <conditionalFormatting sqref="AL42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6233" priority="338">
      <formula>$AH45=0</formula>
    </cfRule>
  </conditionalFormatting>
  <conditionalFormatting sqref="A98">
    <cfRule type="expression" dxfId="6232" priority="337">
      <formula>$AH98=0</formula>
    </cfRule>
  </conditionalFormatting>
  <conditionalFormatting sqref="A18">
    <cfRule type="expression" dxfId="6231" priority="336">
      <formula>$AH18=0</formula>
    </cfRule>
  </conditionalFormatting>
  <conditionalFormatting sqref="A196:A201">
    <cfRule type="expression" dxfId="6230" priority="335">
      <formula>$AH196=0</formula>
    </cfRule>
  </conditionalFormatting>
  <conditionalFormatting sqref="A190:A195">
    <cfRule type="expression" dxfId="6229" priority="334">
      <formula>$AH190=0</formula>
    </cfRule>
  </conditionalFormatting>
  <conditionalFormatting sqref="A58">
    <cfRule type="expression" dxfId="6228" priority="333">
      <formula>$AH58=0</formula>
    </cfRule>
  </conditionalFormatting>
  <conditionalFormatting sqref="A94">
    <cfRule type="expression" dxfId="6227" priority="332">
      <formula>$AH94=0</formula>
    </cfRule>
  </conditionalFormatting>
  <conditionalFormatting sqref="E99:X99 AD99:AF99">
    <cfRule type="expression" dxfId="6226" priority="328">
      <formula>E$9&gt;=20/24</formula>
    </cfRule>
    <cfRule type="expression" dxfId="6225" priority="329">
      <formula>AND(E$9&gt;=14/24,E$9&lt;20/24)</formula>
    </cfRule>
    <cfRule type="expression" dxfId="6224" priority="330">
      <formula>AND(E$9&gt;=8/24,E$9&lt;14/24)</formula>
    </cfRule>
    <cfRule type="expression" dxfId="6223" priority="331">
      <formula>E$9&lt;8/24</formula>
    </cfRule>
  </conditionalFormatting>
  <conditionalFormatting sqref="AL4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222" priority="350">
      <formula>C$9&gt;=20/24</formula>
    </cfRule>
    <cfRule type="expression" dxfId="6221" priority="351">
      <formula>AND(C$9&gt;=14/24,C$9&lt;20/24)</formula>
    </cfRule>
    <cfRule type="expression" dxfId="6220" priority="352">
      <formula>AND(C$9&gt;=8/24,C$9&lt;14/24)</formula>
    </cfRule>
    <cfRule type="expression" dxfId="6219" priority="353">
      <formula>C$9&lt;8/24</formula>
    </cfRule>
  </conditionalFormatting>
  <conditionalFormatting sqref="A233">
    <cfRule type="expression" dxfId="6218" priority="354">
      <formula>$AH233=0</formula>
    </cfRule>
  </conditionalFormatting>
  <conditionalFormatting sqref="AG245">
    <cfRule type="expression" dxfId="6217" priority="355">
      <formula>B$9&gt;=20/24</formula>
    </cfRule>
    <cfRule type="expression" dxfId="6216" priority="356">
      <formula>AND(B$9&gt;=14/24,B$9&lt;20/24)</formula>
    </cfRule>
    <cfRule type="expression" dxfId="6215" priority="357">
      <formula>AND(B$9&gt;=8/24,B$9&lt;14/24)</formula>
    </cfRule>
    <cfRule type="expression" dxfId="6214" priority="358">
      <formula>B$9&lt;8/24</formula>
    </cfRule>
  </conditionalFormatting>
  <conditionalFormatting sqref="S8">
    <cfRule type="expression" dxfId="6213" priority="323">
      <formula>U$9&gt;=20/24</formula>
    </cfRule>
    <cfRule type="expression" dxfId="6212" priority="324">
      <formula>AND(U$9&gt;=14/24,U$9&lt;20/24)</formula>
    </cfRule>
    <cfRule type="expression" dxfId="6211" priority="325">
      <formula>AND(U$9&gt;=8/24,U$9&lt;14/24)</formula>
    </cfRule>
    <cfRule type="expression" dxfId="6210" priority="326">
      <formula>U$9&lt;8/24</formula>
    </cfRule>
  </conditionalFormatting>
  <conditionalFormatting sqref="AB8">
    <cfRule type="expression" dxfId="6209" priority="319">
      <formula>AD$9&gt;=20/24</formula>
    </cfRule>
    <cfRule type="expression" dxfId="6208" priority="320">
      <formula>AND(AD$9&gt;=14/24,AD$9&lt;20/24)</formula>
    </cfRule>
    <cfRule type="expression" dxfId="6207" priority="321">
      <formula>AND(AD$9&gt;=8/24,AD$9&lt;14/24)</formula>
    </cfRule>
    <cfRule type="expression" dxfId="6206" priority="322">
      <formula>AD$9&lt;8/24</formula>
    </cfRule>
  </conditionalFormatting>
  <conditionalFormatting sqref="AH245:AX245">
    <cfRule type="expression" dxfId="6205" priority="359">
      <formula>AG$9&gt;=20/24</formula>
    </cfRule>
    <cfRule type="expression" dxfId="6204" priority="360">
      <formula>AND(AG$9&gt;=14/24,AG$9&lt;20/24)</formula>
    </cfRule>
    <cfRule type="expression" dxfId="6203" priority="361">
      <formula>AND(AG$9&gt;=8/24,AG$9&lt;14/24)</formula>
    </cfRule>
    <cfRule type="expression" dxfId="6202" priority="362">
      <formula>AG$9&lt;8/24</formula>
    </cfRule>
  </conditionalFormatting>
  <conditionalFormatting sqref="T245">
    <cfRule type="expression" dxfId="6201" priority="363">
      <formula>AX$9&gt;=20/24</formula>
    </cfRule>
    <cfRule type="expression" dxfId="6200" priority="364">
      <formula>AND(AX$9&gt;=14/24,AX$9&lt;20/24)</formula>
    </cfRule>
    <cfRule type="expression" dxfId="6199" priority="365">
      <formula>AND(AX$9&gt;=8/24,AX$9&lt;14/24)</formula>
    </cfRule>
    <cfRule type="expression" dxfId="6198" priority="366">
      <formula>AX$9&lt;8/24</formula>
    </cfRule>
  </conditionalFormatting>
  <conditionalFormatting sqref="A115:A116">
    <cfRule type="expression" dxfId="6197" priority="318">
      <formula>$AH115=0</formula>
    </cfRule>
  </conditionalFormatting>
  <conditionalFormatting sqref="AD54:AF55 Q54:S58 E71:AF71">
    <cfRule type="expression" dxfId="6196" priority="314">
      <formula>E$9&gt;=20/24</formula>
    </cfRule>
    <cfRule type="expression" dxfId="6195" priority="315">
      <formula>AND(E$9&gt;=14/24,E$9&lt;20/24)</formula>
    </cfRule>
    <cfRule type="expression" dxfId="6194" priority="316">
      <formula>AND(E$9&gt;=8/24,E$9&lt;14/24)</formula>
    </cfRule>
    <cfRule type="expression" dxfId="6193" priority="317">
      <formula>E$9&lt;8/24</formula>
    </cfRule>
  </conditionalFormatting>
  <conditionalFormatting sqref="AD53:AF53 Q53:S53">
    <cfRule type="expression" dxfId="6192" priority="310">
      <formula>Q$9&gt;=20/24</formula>
    </cfRule>
    <cfRule type="expression" dxfId="6191" priority="311">
      <formula>AND(Q$9&gt;=14/24,Q$9&lt;20/24)</formula>
    </cfRule>
    <cfRule type="expression" dxfId="6190" priority="312">
      <formula>AND(Q$9&gt;=8/24,Q$9&lt;14/24)</formula>
    </cfRule>
    <cfRule type="expression" dxfId="6189" priority="313">
      <formula>Q$9&lt;8/24</formula>
    </cfRule>
  </conditionalFormatting>
  <conditionalFormatting sqref="AD53:AF55 Q53:S58">
    <cfRule type="expression" dxfId="6188" priority="309">
      <formula>Q53&gt;$AG53</formula>
    </cfRule>
  </conditionalFormatting>
  <conditionalFormatting sqref="M100:X106 D86:AF86 X96:AF96 X47:AF47 E72:AF73 Z67:AF69 Z74:AF74">
    <cfRule type="expression" dxfId="6187" priority="305">
      <formula>D$9&gt;=20/24</formula>
    </cfRule>
    <cfRule type="expression" dxfId="6186" priority="306">
      <formula>AND(D$9&gt;=14/24,D$9&lt;20/24)</formula>
    </cfRule>
    <cfRule type="expression" dxfId="6185" priority="307">
      <formula>AND(D$9&gt;=8/24,D$9&lt;14/24)</formula>
    </cfRule>
    <cfRule type="expression" dxfId="6184" priority="308">
      <formula>D$9&lt;8/24</formula>
    </cfRule>
  </conditionalFormatting>
  <conditionalFormatting sqref="X47:AF47 Z67:AF69">
    <cfRule type="expression" dxfId="6183" priority="304">
      <formula>X47&gt;$AG47</formula>
    </cfRule>
  </conditionalFormatting>
  <conditionalFormatting sqref="T53:AC58 AD56:AF58">
    <cfRule type="expression" dxfId="6182" priority="300">
      <formula>T$9&gt;=20/24</formula>
    </cfRule>
    <cfRule type="expression" dxfId="6181" priority="301">
      <formula>AND(T$9&gt;=14/24,T$9&lt;20/24)</formula>
    </cfRule>
    <cfRule type="expression" dxfId="6180" priority="302">
      <formula>AND(T$9&gt;=8/24,T$9&lt;14/24)</formula>
    </cfRule>
    <cfRule type="expression" dxfId="6179" priority="303">
      <formula>T$9&lt;8/24</formula>
    </cfRule>
  </conditionalFormatting>
  <conditionalFormatting sqref="T53:AC58 AD56:AF58">
    <cfRule type="expression" dxfId="6178" priority="299">
      <formula>T53&gt;$AG53</formula>
    </cfRule>
  </conditionalFormatting>
  <conditionalFormatting sqref="C97:AF97 D88:AF88">
    <cfRule type="expression" dxfId="6177" priority="295">
      <formula>C$9&gt;=20/24</formula>
    </cfRule>
    <cfRule type="expression" dxfId="6176" priority="296">
      <formula>AND(C$9&gt;=14/24,C$9&lt;20/24)</formula>
    </cfRule>
    <cfRule type="expression" dxfId="6175" priority="297">
      <formula>AND(C$9&gt;=8/24,C$9&lt;14/24)</formula>
    </cfRule>
    <cfRule type="expression" dxfId="6174" priority="298">
      <formula>C$9&lt;8/24</formula>
    </cfRule>
  </conditionalFormatting>
  <conditionalFormatting sqref="T47:W47">
    <cfRule type="expression" dxfId="6173" priority="291">
      <formula>T$9&gt;=20/24</formula>
    </cfRule>
    <cfRule type="expression" dxfId="6172" priority="292">
      <formula>AND(T$9&gt;=14/24,T$9&lt;20/24)</formula>
    </cfRule>
    <cfRule type="expression" dxfId="6171" priority="293">
      <formula>AND(T$9&gt;=8/24,T$9&lt;14/24)</formula>
    </cfRule>
    <cfRule type="expression" dxfId="6170" priority="294">
      <formula>T$9&lt;8/24</formula>
    </cfRule>
  </conditionalFormatting>
  <conditionalFormatting sqref="T47:W47">
    <cfRule type="expression" dxfId="6169" priority="290">
      <formula>T47&gt;$AG47</formula>
    </cfRule>
  </conditionalFormatting>
  <conditionalFormatting sqref="E54:P55">
    <cfRule type="expression" dxfId="6168" priority="286">
      <formula>E$9&gt;=20/24</formula>
    </cfRule>
    <cfRule type="expression" dxfId="6167" priority="287">
      <formula>AND(E$9&gt;=14/24,E$9&lt;20/24)</formula>
    </cfRule>
    <cfRule type="expression" dxfId="6166" priority="288">
      <formula>AND(E$9&gt;=8/24,E$9&lt;14/24)</formula>
    </cfRule>
    <cfRule type="expression" dxfId="6165" priority="289">
      <formula>E$9&lt;8/24</formula>
    </cfRule>
  </conditionalFormatting>
  <conditionalFormatting sqref="E53:P53">
    <cfRule type="expression" dxfId="6164" priority="282">
      <formula>E$9&gt;=20/24</formula>
    </cfRule>
    <cfRule type="expression" dxfId="6163" priority="283">
      <formula>AND(E$9&gt;=14/24,E$9&lt;20/24)</formula>
    </cfRule>
    <cfRule type="expression" dxfId="6162" priority="284">
      <formula>AND(E$9&gt;=8/24,E$9&lt;14/24)</formula>
    </cfRule>
    <cfRule type="expression" dxfId="6161" priority="285">
      <formula>E$9&lt;8/24</formula>
    </cfRule>
  </conditionalFormatting>
  <conditionalFormatting sqref="E53:P55">
    <cfRule type="expression" dxfId="6160" priority="281">
      <formula>E53&gt;$AG53</formula>
    </cfRule>
  </conditionalFormatting>
  <conditionalFormatting sqref="AG70 AG87 E100:L106 Q67:Y69">
    <cfRule type="expression" dxfId="6159" priority="277">
      <formula>E$9&gt;=20/24</formula>
    </cfRule>
    <cfRule type="expression" dxfId="6158" priority="278">
      <formula>AND(E$9&gt;=14/24,E$9&lt;20/24)</formula>
    </cfRule>
    <cfRule type="expression" dxfId="6157" priority="279">
      <formula>AND(E$9&gt;=8/24,E$9&lt;14/24)</formula>
    </cfRule>
    <cfRule type="expression" dxfId="6156" priority="280">
      <formula>E$9&lt;8/24</formula>
    </cfRule>
  </conditionalFormatting>
  <conditionalFormatting sqref="AG48 AG66 AG70 Q67:Y69">
    <cfRule type="expression" dxfId="6155" priority="276">
      <formula>Q48&gt;$AG48</formula>
    </cfRule>
  </conditionalFormatting>
  <conditionalFormatting sqref="A43">
    <cfRule type="expression" dxfId="6154" priority="270">
      <formula>$AH43=0</formula>
    </cfRule>
  </conditionalFormatting>
  <conditionalFormatting sqref="X91:AF95">
    <cfRule type="expression" dxfId="6153" priority="266">
      <formula>X$9&gt;=20/24</formula>
    </cfRule>
    <cfRule type="expression" dxfId="6152" priority="267">
      <formula>AND(X$9&gt;=14/24,X$9&lt;20/24)</formula>
    </cfRule>
    <cfRule type="expression" dxfId="6151" priority="268">
      <formula>AND(X$9&gt;=8/24,X$9&lt;14/24)</formula>
    </cfRule>
    <cfRule type="expression" dxfId="6150" priority="269">
      <formula>X$9&lt;8/24</formula>
    </cfRule>
  </conditionalFormatting>
  <conditionalFormatting sqref="AL45 AL41 AL22:AL32 AL38:AL39 AL7:AL15 AL18:AL20 AL34:AL36">
    <cfRule type="iconSet" priority="367">
      <iconSet iconSet="3TrafficLights2" reverse="1">
        <cfvo type="percent" val="0"/>
        <cfvo type="num" val="1"/>
        <cfvo type="num" val="1"/>
      </iconSet>
    </cfRule>
  </conditionalFormatting>
  <conditionalFormatting sqref="E49:M49 N49:AF51">
    <cfRule type="expression" dxfId="6149" priority="262">
      <formula>E$9&gt;=20/24</formula>
    </cfRule>
    <cfRule type="expression" dxfId="6148" priority="263">
      <formula>AND(E$9&gt;=14/24,E$9&lt;20/24)</formula>
    </cfRule>
    <cfRule type="expression" dxfId="6147" priority="264">
      <formula>AND(E$9&gt;=8/24,E$9&lt;14/24)</formula>
    </cfRule>
    <cfRule type="expression" dxfId="6146" priority="265">
      <formula>E$9&lt;8/24</formula>
    </cfRule>
  </conditionalFormatting>
  <conditionalFormatting sqref="E49:M49 N49:AF51">
    <cfRule type="expression" dxfId="6145" priority="261">
      <formula>E49&gt;$AG49</formula>
    </cfRule>
  </conditionalFormatting>
  <conditionalFormatting sqref="AG52">
    <cfRule type="expression" dxfId="6144" priority="257">
      <formula>AG$9&gt;=20/24</formula>
    </cfRule>
    <cfRule type="expression" dxfId="6143" priority="258">
      <formula>AND(AG$9&gt;=14/24,AG$9&lt;20/24)</formula>
    </cfRule>
    <cfRule type="expression" dxfId="6142" priority="259">
      <formula>AND(AG$9&gt;=8/24,AG$9&lt;14/24)</formula>
    </cfRule>
    <cfRule type="expression" dxfId="6141" priority="260">
      <formula>AG$9&lt;8/24</formula>
    </cfRule>
  </conditionalFormatting>
  <conditionalFormatting sqref="AG52">
    <cfRule type="expression" dxfId="6140" priority="256">
      <formula>AG52&gt;$AG52</formula>
    </cfRule>
  </conditionalFormatting>
  <conditionalFormatting sqref="C107:AF107">
    <cfRule type="expression" dxfId="6139" priority="252">
      <formula>C$9&gt;=20/24</formula>
    </cfRule>
    <cfRule type="expression" dxfId="6138" priority="253">
      <formula>AND(C$9&gt;=14/24,C$9&lt;20/24)</formula>
    </cfRule>
    <cfRule type="expression" dxfId="6137" priority="254">
      <formula>AND(C$9&gt;=8/24,C$9&lt;14/24)</formula>
    </cfRule>
    <cfRule type="expression" dxfId="6136" priority="255">
      <formula>C$9&lt;8/24</formula>
    </cfRule>
  </conditionalFormatting>
  <conditionalFormatting sqref="AL40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6135" priority="250">
      <formula>$AH40=0</formula>
    </cfRule>
  </conditionalFormatting>
  <conditionalFormatting sqref="A90">
    <cfRule type="expression" dxfId="6134" priority="248">
      <formula>$AH90=0</formula>
    </cfRule>
  </conditionalFormatting>
  <conditionalFormatting sqref="A87">
    <cfRule type="expression" dxfId="6133" priority="249">
      <formula>$AH87=0</formula>
    </cfRule>
  </conditionalFormatting>
  <conditionalFormatting sqref="D110:AF110">
    <cfRule type="expression" dxfId="6132" priority="244">
      <formula>D$9&gt;=20/24</formula>
    </cfRule>
    <cfRule type="expression" dxfId="6131" priority="245">
      <formula>AND(D$9&gt;=14/24,D$9&lt;20/24)</formula>
    </cfRule>
    <cfRule type="expression" dxfId="6130" priority="246">
      <formula>AND(D$9&gt;=8/24,D$9&lt;14/24)</formula>
    </cfRule>
    <cfRule type="expression" dxfId="6129" priority="247">
      <formula>D$9&lt;8/24</formula>
    </cfRule>
  </conditionalFormatting>
  <conditionalFormatting sqref="A110">
    <cfRule type="expression" dxfId="6128" priority="243">
      <formula>$AH110=0</formula>
    </cfRule>
  </conditionalFormatting>
  <conditionalFormatting sqref="A21">
    <cfRule type="expression" dxfId="6127" priority="241">
      <formula>$AH21=0</formula>
    </cfRule>
  </conditionalFormatting>
  <conditionalFormatting sqref="AL21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126" priority="239">
      <formula>$AH37=0</formula>
    </cfRule>
  </conditionalFormatting>
  <conditionalFormatting sqref="AL37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6125" priority="235">
      <formula>Y$9&gt;=20/24</formula>
    </cfRule>
    <cfRule type="expression" dxfId="6124" priority="236">
      <formula>AND(Y$9&gt;=14/24,Y$9&lt;20/24)</formula>
    </cfRule>
    <cfRule type="expression" dxfId="6123" priority="237">
      <formula>AND(Y$9&gt;=8/24,Y$9&lt;14/24)</formula>
    </cfRule>
    <cfRule type="expression" dxfId="6122" priority="238">
      <formula>Y$9&lt;8/24</formula>
    </cfRule>
  </conditionalFormatting>
  <conditionalFormatting sqref="Y100:AF106">
    <cfRule type="expression" dxfId="6121" priority="231">
      <formula>Y$9&gt;=20/24</formula>
    </cfRule>
    <cfRule type="expression" dxfId="6120" priority="232">
      <formula>AND(Y$9&gt;=14/24,Y$9&lt;20/24)</formula>
    </cfRule>
    <cfRule type="expression" dxfId="6119" priority="233">
      <formula>AND(Y$9&gt;=8/24,Y$9&lt;14/24)</formula>
    </cfRule>
    <cfRule type="expression" dxfId="6118" priority="234">
      <formula>Y$9&lt;8/24</formula>
    </cfRule>
  </conditionalFormatting>
  <conditionalFormatting sqref="C109 C111:C116 Z34:AF43 Z17:AF32">
    <cfRule type="expression" dxfId="6117" priority="227">
      <formula>C$9&gt;=20/24</formula>
    </cfRule>
    <cfRule type="expression" dxfId="6116" priority="228">
      <formula>AND(C$9&gt;=14/24,C$9&lt;20/24)</formula>
    </cfRule>
    <cfRule type="expression" dxfId="6115" priority="229">
      <formula>AND(C$9&gt;=8/24,C$9&lt;14/24)</formula>
    </cfRule>
    <cfRule type="expression" dxfId="6114" priority="230">
      <formula>C$9&lt;8/24</formula>
    </cfRule>
  </conditionalFormatting>
  <conditionalFormatting sqref="D47:S47">
    <cfRule type="expression" dxfId="6113" priority="223">
      <formula>D$9&gt;=20/24</formula>
    </cfRule>
    <cfRule type="expression" dxfId="6112" priority="224">
      <formula>AND(D$9&gt;=14/24,D$9&lt;20/24)</formula>
    </cfRule>
    <cfRule type="expression" dxfId="6111" priority="225">
      <formula>AND(D$9&gt;=8/24,D$9&lt;14/24)</formula>
    </cfRule>
    <cfRule type="expression" dxfId="6110" priority="226">
      <formula>D$9&lt;8/24</formula>
    </cfRule>
  </conditionalFormatting>
  <conditionalFormatting sqref="D47:S47 Z34:AF43 Z17:AF32">
    <cfRule type="expression" dxfId="6109" priority="222">
      <formula>D17&gt;$AG17</formula>
    </cfRule>
  </conditionalFormatting>
  <conditionalFormatting sqref="C99:D99">
    <cfRule type="expression" dxfId="6108" priority="218">
      <formula>C$9&gt;=20/24</formula>
    </cfRule>
    <cfRule type="expression" dxfId="6107" priority="219">
      <formula>AND(C$9&gt;=14/24,C$9&lt;20/24)</formula>
    </cfRule>
    <cfRule type="expression" dxfId="6106" priority="220">
      <formula>AND(C$9&gt;=8/24,C$9&lt;14/24)</formula>
    </cfRule>
    <cfRule type="expression" dxfId="6105" priority="221">
      <formula>C$9&lt;8/24</formula>
    </cfRule>
  </conditionalFormatting>
  <conditionalFormatting sqref="C86 C96:W96 D100:D106 E74:M75 M76 E67:P69 N74:Y76 C83:AF85 Z75:AF76">
    <cfRule type="expression" dxfId="6104" priority="214">
      <formula>C$9&gt;=20/24</formula>
    </cfRule>
    <cfRule type="expression" dxfId="6103" priority="215">
      <formula>AND(C$9&gt;=14/24,C$9&lt;20/24)</formula>
    </cfRule>
    <cfRule type="expression" dxfId="6102" priority="216">
      <formula>AND(C$9&gt;=8/24,C$9&lt;14/24)</formula>
    </cfRule>
    <cfRule type="expression" dxfId="6101" priority="217">
      <formula>C$9&lt;8/24</formula>
    </cfRule>
  </conditionalFormatting>
  <conditionalFormatting sqref="E67:P69 E56:P57">
    <cfRule type="expression" dxfId="6100" priority="213">
      <formula>E56&gt;$AG56</formula>
    </cfRule>
  </conditionalFormatting>
  <conditionalFormatting sqref="E58:P58">
    <cfRule type="expression" dxfId="6099" priority="209">
      <formula>E$9&gt;=20/24</formula>
    </cfRule>
    <cfRule type="expression" dxfId="6098" priority="210">
      <formula>AND(E$9&gt;=14/24,E$9&lt;20/24)</formula>
    </cfRule>
    <cfRule type="expression" dxfId="6097" priority="211">
      <formula>AND(E$9&gt;=8/24,E$9&lt;14/24)</formula>
    </cfRule>
    <cfRule type="expression" dxfId="6096" priority="212">
      <formula>E$9&lt;8/24</formula>
    </cfRule>
  </conditionalFormatting>
  <conditionalFormatting sqref="E58:P58">
    <cfRule type="expression" dxfId="6095" priority="208">
      <formula>E58&gt;$AG58</formula>
    </cfRule>
  </conditionalFormatting>
  <conditionalFormatting sqref="B54:D57 B71:D71">
    <cfRule type="expression" dxfId="6094" priority="137">
      <formula>B$9&gt;=20/24</formula>
    </cfRule>
    <cfRule type="expression" dxfId="6093" priority="138">
      <formula>AND(B$9&gt;=14/24,B$9&lt;20/24)</formula>
    </cfRule>
    <cfRule type="expression" dxfId="6092" priority="139">
      <formula>AND(B$9&gt;=8/24,B$9&lt;14/24)</formula>
    </cfRule>
    <cfRule type="expression" dxfId="6091" priority="140">
      <formula>B$9&lt;8/24</formula>
    </cfRule>
  </conditionalFormatting>
  <conditionalFormatting sqref="C98:AF98 C87:AF87 C89:AF89 C70:AF70">
    <cfRule type="expression" dxfId="6090" priority="204">
      <formula>C$9&gt;=20/24</formula>
    </cfRule>
    <cfRule type="expression" dxfId="6089" priority="205">
      <formula>AND(C$9&gt;=14/24,C$9&lt;20/24)</formula>
    </cfRule>
    <cfRule type="expression" dxfId="6088" priority="206">
      <formula>AND(C$9&gt;=8/24,C$9&lt;14/24)</formula>
    </cfRule>
    <cfRule type="expression" dxfId="6087" priority="207">
      <formula>C$9&lt;8/24</formula>
    </cfRule>
  </conditionalFormatting>
  <conditionalFormatting sqref="C70:AF70 C65:AF66 C48:AF48">
    <cfRule type="expression" dxfId="6086" priority="203">
      <formula>C48&gt;$AG48</formula>
    </cfRule>
  </conditionalFormatting>
  <conditionalFormatting sqref="C82:AF82">
    <cfRule type="expression" dxfId="6085" priority="199">
      <formula>C$9&gt;=20/24</formula>
    </cfRule>
    <cfRule type="expression" dxfId="6084" priority="200">
      <formula>AND(C$9&gt;=14/24,C$9&lt;20/24)</formula>
    </cfRule>
    <cfRule type="expression" dxfId="6083" priority="201">
      <formula>AND(C$9&gt;=8/24,C$9&lt;14/24)</formula>
    </cfRule>
    <cfRule type="expression" dxfId="6082" priority="202">
      <formula>C$9&lt;8/24</formula>
    </cfRule>
  </conditionalFormatting>
  <conditionalFormatting sqref="C91:W95">
    <cfRule type="expression" dxfId="6081" priority="195">
      <formula>C$9&gt;=20/24</formula>
    </cfRule>
    <cfRule type="expression" dxfId="6080" priority="196">
      <formula>AND(C$9&gt;=14/24,C$9&lt;20/24)</formula>
    </cfRule>
    <cfRule type="expression" dxfId="6079" priority="197">
      <formula>AND(C$9&gt;=8/24,C$9&lt;14/24)</formula>
    </cfRule>
    <cfRule type="expression" dxfId="6078" priority="198">
      <formula>C$9&lt;8/24</formula>
    </cfRule>
  </conditionalFormatting>
  <conditionalFormatting sqref="C52:AF52">
    <cfRule type="expression" dxfId="6077" priority="191">
      <formula>C$9&gt;=20/24</formula>
    </cfRule>
    <cfRule type="expression" dxfId="6076" priority="192">
      <formula>AND(C$9&gt;=14/24,C$9&lt;20/24)</formula>
    </cfRule>
    <cfRule type="expression" dxfId="6075" priority="193">
      <formula>AND(C$9&gt;=8/24,C$9&lt;14/24)</formula>
    </cfRule>
    <cfRule type="expression" dxfId="6074" priority="194">
      <formula>C$9&lt;8/24</formula>
    </cfRule>
  </conditionalFormatting>
  <conditionalFormatting sqref="C52:AF52">
    <cfRule type="expression" dxfId="6073" priority="190">
      <formula>C52&gt;$AG52</formula>
    </cfRule>
  </conditionalFormatting>
  <conditionalFormatting sqref="B49:D51 E50:M51">
    <cfRule type="expression" dxfId="6072" priority="105">
      <formula>B$9&gt;=20/24</formula>
    </cfRule>
    <cfRule type="expression" dxfId="6071" priority="106">
      <formula>AND(B$9&gt;=14/24,B$9&lt;20/24)</formula>
    </cfRule>
    <cfRule type="expression" dxfId="6070" priority="107">
      <formula>AND(B$9&gt;=8/24,B$9&lt;14/24)</formula>
    </cfRule>
    <cfRule type="expression" dxfId="6069" priority="108">
      <formula>B$9&lt;8/24</formula>
    </cfRule>
  </conditionalFormatting>
  <conditionalFormatting sqref="C110">
    <cfRule type="expression" dxfId="6068" priority="182">
      <formula>C$9&gt;=20/24</formula>
    </cfRule>
    <cfRule type="expression" dxfId="6067" priority="183">
      <formula>AND(C$9&gt;=14/24,C$9&lt;20/24)</formula>
    </cfRule>
    <cfRule type="expression" dxfId="6066" priority="184">
      <formula>AND(C$9&gt;=8/24,C$9&lt;14/24)</formula>
    </cfRule>
    <cfRule type="expression" dxfId="6065" priority="185">
      <formula>C$9&lt;8/24</formula>
    </cfRule>
  </conditionalFormatting>
  <conditionalFormatting sqref="Q59:AF64">
    <cfRule type="expression" dxfId="6064" priority="178">
      <formula>Q$9&gt;=20/24</formula>
    </cfRule>
    <cfRule type="expression" dxfId="6063" priority="179">
      <formula>AND(Q$9&gt;=14/24,Q$9&lt;20/24)</formula>
    </cfRule>
    <cfRule type="expression" dxfId="6062" priority="180">
      <formula>AND(Q$9&gt;=8/24,Q$9&lt;14/24)</formula>
    </cfRule>
    <cfRule type="expression" dxfId="6061" priority="181">
      <formula>Q$9&lt;8/24</formula>
    </cfRule>
  </conditionalFormatting>
  <conditionalFormatting sqref="Q59:AF64">
    <cfRule type="expression" dxfId="6060" priority="177">
      <formula>Q59&gt;$AG59</formula>
    </cfRule>
  </conditionalFormatting>
  <conditionalFormatting sqref="Z45:AF45 Z13:AF15">
    <cfRule type="expression" dxfId="6059" priority="176">
      <formula>Z13&gt;$AG13</formula>
    </cfRule>
  </conditionalFormatting>
  <conditionalFormatting sqref="Z12:AF12">
    <cfRule type="expression" dxfId="6058" priority="172">
      <formula>Z$9&gt;=20/24</formula>
    </cfRule>
    <cfRule type="expression" dxfId="6057" priority="173">
      <formula>AND(Z$9&gt;=14/24,Z$9&lt;20/24)</formula>
    </cfRule>
    <cfRule type="expression" dxfId="6056" priority="174">
      <formula>AND(Z$9&gt;=8/24,Z$9&lt;14/24)</formula>
    </cfRule>
    <cfRule type="expression" dxfId="6055" priority="175">
      <formula>Z$9&lt;8/24</formula>
    </cfRule>
  </conditionalFormatting>
  <conditionalFormatting sqref="Z12:AF12">
    <cfRule type="expression" dxfId="6054" priority="171">
      <formula>Z12&gt;$AG12</formula>
    </cfRule>
  </conditionalFormatting>
  <conditionalFormatting sqref="Z13:AF15">
    <cfRule type="expression" dxfId="6053" priority="167">
      <formula>Z$9&gt;=20/24</formula>
    </cfRule>
    <cfRule type="expression" dxfId="6052" priority="168">
      <formula>AND(Z$9&gt;=14/24,Z$9&lt;20/24)</formula>
    </cfRule>
    <cfRule type="expression" dxfId="6051" priority="169">
      <formula>AND(Z$9&gt;=8/24,Z$9&lt;14/24)</formula>
    </cfRule>
    <cfRule type="expression" dxfId="6050" priority="170">
      <formula>Z$9&lt;8/24</formula>
    </cfRule>
  </conditionalFormatting>
  <conditionalFormatting sqref="Z45:AF45">
    <cfRule type="expression" dxfId="6049" priority="163">
      <formula>Z$9&gt;=20/24</formula>
    </cfRule>
    <cfRule type="expression" dxfId="6048" priority="164">
      <formula>AND(Z$9&gt;=14/24,Z$9&lt;20/24)</formula>
    </cfRule>
    <cfRule type="expression" dxfId="6047" priority="165">
      <formula>AND(Z$9&gt;=8/24,Z$9&lt;14/24)</formula>
    </cfRule>
    <cfRule type="expression" dxfId="6046" priority="166">
      <formula>Z$9&lt;8/24</formula>
    </cfRule>
  </conditionalFormatting>
  <conditionalFormatting sqref="M77:AF81">
    <cfRule type="expression" dxfId="6045" priority="159">
      <formula>M$9&gt;=20/24</formula>
    </cfRule>
    <cfRule type="expression" dxfId="6044" priority="160">
      <formula>AND(M$9&gt;=14/24,M$9&lt;20/24)</formula>
    </cfRule>
    <cfRule type="expression" dxfId="6043" priority="161">
      <formula>AND(M$9&gt;=8/24,M$9&lt;14/24)</formula>
    </cfRule>
    <cfRule type="expression" dxfId="6042" priority="162">
      <formula>M$9&lt;8/24</formula>
    </cfRule>
  </conditionalFormatting>
  <conditionalFormatting sqref="AL78:AN78 AL84:AN84 AN79:AN80">
    <cfRule type="expression" dxfId="6041" priority="155">
      <formula>AL$9&gt;=20/24</formula>
    </cfRule>
    <cfRule type="expression" dxfId="6040" priority="156">
      <formula>AND(AL$9&gt;=14/24,AL$9&lt;20/24)</formula>
    </cfRule>
    <cfRule type="expression" dxfId="6039" priority="157">
      <formula>AND(AL$9&gt;=8/24,AL$9&lt;14/24)</formula>
    </cfRule>
    <cfRule type="expression" dxfId="6038" priority="158">
      <formula>AL$9&lt;8/24</formula>
    </cfRule>
  </conditionalFormatting>
  <conditionalFormatting sqref="AN81:AN82">
    <cfRule type="expression" dxfId="6037" priority="151">
      <formula>AN$9&gt;=20/24</formula>
    </cfRule>
    <cfRule type="expression" dxfId="6036" priority="152">
      <formula>AND(AN$9&gt;=14/24,AN$9&lt;20/24)</formula>
    </cfRule>
    <cfRule type="expression" dxfId="6035" priority="153">
      <formula>AND(AN$9&gt;=8/24,AN$9&lt;14/24)</formula>
    </cfRule>
    <cfRule type="expression" dxfId="6034" priority="154">
      <formula>AN$9&lt;8/24</formula>
    </cfRule>
  </conditionalFormatting>
  <conditionalFormatting sqref="AL79:AM83">
    <cfRule type="expression" dxfId="6033" priority="368">
      <formula>AJ$9&gt;=20/24</formula>
    </cfRule>
    <cfRule type="expression" dxfId="6032" priority="369">
      <formula>AND(AJ$9&gt;=14/24,AJ$9&lt;20/24)</formula>
    </cfRule>
    <cfRule type="expression" dxfId="6031" priority="370">
      <formula>AND(AJ$9&gt;=8/24,AJ$9&lt;14/24)</formula>
    </cfRule>
    <cfRule type="expression" dxfId="6030" priority="371">
      <formula>AJ$9&lt;8/24</formula>
    </cfRule>
  </conditionalFormatting>
  <conditionalFormatting sqref="A117">
    <cfRule type="expression" dxfId="6029" priority="150">
      <formula>$AH117=0</formula>
    </cfRule>
  </conditionalFormatting>
  <conditionalFormatting sqref="B109 B111:B116 B12:Y15 B17:Y32 B34:Y43 B45:Y45">
    <cfRule type="expression" dxfId="6028" priority="146">
      <formula>B$9&gt;=20/24</formula>
    </cfRule>
    <cfRule type="expression" dxfId="6027" priority="147">
      <formula>AND(B$9&gt;=14/24,B$9&lt;20/24)</formula>
    </cfRule>
    <cfRule type="expression" dxfId="6026" priority="148">
      <formula>AND(B$9&gt;=8/24,B$9&lt;14/24)</formula>
    </cfRule>
    <cfRule type="expression" dxfId="6025" priority="149">
      <formula>B$9&lt;8/24</formula>
    </cfRule>
  </conditionalFormatting>
  <conditionalFormatting sqref="B12:Y15 B17:Y32 B34:Y43 B45:Y45">
    <cfRule type="expression" dxfId="6024" priority="145">
      <formula>B12&gt;$AG12</formula>
    </cfRule>
  </conditionalFormatting>
  <conditionalFormatting sqref="B99">
    <cfRule type="expression" dxfId="6023" priority="141">
      <formula>B$9&gt;=20/24</formula>
    </cfRule>
    <cfRule type="expression" dxfId="6022" priority="142">
      <formula>AND(B$9&gt;=14/24,B$9&lt;20/24)</formula>
    </cfRule>
    <cfRule type="expression" dxfId="6021" priority="143">
      <formula>AND(B$9&gt;=8/24,B$9&lt;14/24)</formula>
    </cfRule>
    <cfRule type="expression" dxfId="6020" priority="144">
      <formula>B$9&lt;8/24</formula>
    </cfRule>
  </conditionalFormatting>
  <conditionalFormatting sqref="B53:D53">
    <cfRule type="expression" dxfId="6019" priority="133">
      <formula>B$9&gt;=20/24</formula>
    </cfRule>
    <cfRule type="expression" dxfId="6018" priority="134">
      <formula>AND(B$9&gt;=14/24,B$9&lt;20/24)</formula>
    </cfRule>
    <cfRule type="expression" dxfId="6017" priority="135">
      <formula>AND(B$9&gt;=8/24,B$9&lt;14/24)</formula>
    </cfRule>
    <cfRule type="expression" dxfId="6016" priority="136">
      <formula>B$9&lt;8/24</formula>
    </cfRule>
  </conditionalFormatting>
  <conditionalFormatting sqref="B53:D57">
    <cfRule type="expression" dxfId="6015" priority="132">
      <formula>B53&gt;$AG53</formula>
    </cfRule>
  </conditionalFormatting>
  <conditionalFormatting sqref="B96 B86 B100:C106 B67:D69 B72:D74 B47:C47">
    <cfRule type="expression" dxfId="6014" priority="128">
      <formula>B$9&gt;=20/24</formula>
    </cfRule>
    <cfRule type="expression" dxfId="6013" priority="129">
      <formula>AND(B$9&gt;=14/24,B$9&lt;20/24)</formula>
    </cfRule>
    <cfRule type="expression" dxfId="6012" priority="130">
      <formula>AND(B$9&gt;=8/24,B$9&lt;14/24)</formula>
    </cfRule>
    <cfRule type="expression" dxfId="6011" priority="131">
      <formula>B$9&lt;8/24</formula>
    </cfRule>
  </conditionalFormatting>
  <conditionalFormatting sqref="B67:D69 B47:C47">
    <cfRule type="expression" dxfId="6010" priority="127">
      <formula>B47&gt;$AG47</formula>
    </cfRule>
  </conditionalFormatting>
  <conditionalFormatting sqref="B97 B88:C88">
    <cfRule type="expression" dxfId="6009" priority="123">
      <formula>B$9&gt;=20/24</formula>
    </cfRule>
    <cfRule type="expression" dxfId="6008" priority="124">
      <formula>AND(B$9&gt;=14/24,B$9&lt;20/24)</formula>
    </cfRule>
    <cfRule type="expression" dxfId="6007" priority="125">
      <formula>AND(B$9&gt;=8/24,B$9&lt;14/24)</formula>
    </cfRule>
    <cfRule type="expression" dxfId="6006" priority="126">
      <formula>B$9&lt;8/24</formula>
    </cfRule>
  </conditionalFormatting>
  <conditionalFormatting sqref="B46:AF46">
    <cfRule type="expression" dxfId="6005" priority="119">
      <formula>B$9&gt;=20/24</formula>
    </cfRule>
    <cfRule type="expression" dxfId="6004" priority="120">
      <formula>AND(B$9&gt;=14/24,B$9&lt;20/24)</formula>
    </cfRule>
    <cfRule type="expression" dxfId="6003" priority="121">
      <formula>AND(B$9&gt;=8/24,B$9&lt;14/24)</formula>
    </cfRule>
    <cfRule type="expression" dxfId="6002" priority="122">
      <formula>B$9&lt;8/24</formula>
    </cfRule>
  </conditionalFormatting>
  <conditionalFormatting sqref="B46:AF46">
    <cfRule type="expression" dxfId="6001" priority="118">
      <formula>B46&gt;$AG46</formula>
    </cfRule>
  </conditionalFormatting>
  <conditionalFormatting sqref="B58:D58">
    <cfRule type="expression" dxfId="6000" priority="114">
      <formula>B$9&gt;=20/24</formula>
    </cfRule>
    <cfRule type="expression" dxfId="5999" priority="115">
      <formula>AND(B$9&gt;=14/24,B$9&lt;20/24)</formula>
    </cfRule>
    <cfRule type="expression" dxfId="5998" priority="116">
      <formula>AND(B$9&gt;=8/24,B$9&lt;14/24)</formula>
    </cfRule>
    <cfRule type="expression" dxfId="5997" priority="117">
      <formula>B$9&lt;8/24</formula>
    </cfRule>
  </conditionalFormatting>
  <conditionalFormatting sqref="B58:D58">
    <cfRule type="expression" dxfId="5996" priority="113">
      <formula>B58&gt;$AG58</formula>
    </cfRule>
  </conditionalFormatting>
  <conditionalFormatting sqref="B91:B95">
    <cfRule type="expression" dxfId="5995" priority="109">
      <formula>B$9&gt;=20/24</formula>
    </cfRule>
    <cfRule type="expression" dxfId="5994" priority="110">
      <formula>AND(B$9&gt;=14/24,B$9&lt;20/24)</formula>
    </cfRule>
    <cfRule type="expression" dxfId="5993" priority="111">
      <formula>AND(B$9&gt;=8/24,B$9&lt;14/24)</formula>
    </cfRule>
    <cfRule type="expression" dxfId="5992" priority="112">
      <formula>B$9&lt;8/24</formula>
    </cfRule>
  </conditionalFormatting>
  <conditionalFormatting sqref="B49:D51 E50:M51">
    <cfRule type="expression" dxfId="5991" priority="104">
      <formula>B49&gt;$AG49</formula>
    </cfRule>
  </conditionalFormatting>
  <conditionalFormatting sqref="B107">
    <cfRule type="expression" dxfId="5990" priority="100">
      <formula>B$9&gt;=20/24</formula>
    </cfRule>
    <cfRule type="expression" dxfId="5989" priority="101">
      <formula>AND(B$9&gt;=14/24,B$9&lt;20/24)</formula>
    </cfRule>
    <cfRule type="expression" dxfId="5988" priority="102">
      <formula>AND(B$9&gt;=8/24,B$9&lt;14/24)</formula>
    </cfRule>
    <cfRule type="expression" dxfId="5987" priority="103">
      <formula>B$9&lt;8/24</formula>
    </cfRule>
  </conditionalFormatting>
  <conditionalFormatting sqref="B110">
    <cfRule type="expression" dxfId="5986" priority="96">
      <formula>B$9&gt;=20/24</formula>
    </cfRule>
    <cfRule type="expression" dxfId="5985" priority="97">
      <formula>AND(B$9&gt;=14/24,B$9&lt;20/24)</formula>
    </cfRule>
    <cfRule type="expression" dxfId="5984" priority="98">
      <formula>AND(B$9&gt;=8/24,B$9&lt;14/24)</formula>
    </cfRule>
    <cfRule type="expression" dxfId="5983" priority="99">
      <formula>B$9&lt;8/24</formula>
    </cfRule>
  </conditionalFormatting>
  <conditionalFormatting sqref="B83:B85 B75:D76 E76:L76">
    <cfRule type="expression" dxfId="5982" priority="92">
      <formula>B$9&gt;=20/24</formula>
    </cfRule>
    <cfRule type="expression" dxfId="5981" priority="93">
      <formula>AND(B$9&gt;=14/24,B$9&lt;20/24)</formula>
    </cfRule>
    <cfRule type="expression" dxfId="5980" priority="94">
      <formula>AND(B$9&gt;=8/24,B$9&lt;14/24)</formula>
    </cfRule>
    <cfRule type="expression" dxfId="5979" priority="95">
      <formula>B$9&lt;8/24</formula>
    </cfRule>
  </conditionalFormatting>
  <conditionalFormatting sqref="B89 B98 B70 B87">
    <cfRule type="expression" dxfId="5978" priority="88">
      <formula>B$9&gt;=20/24</formula>
    </cfRule>
    <cfRule type="expression" dxfId="5977" priority="89">
      <formula>AND(B$9&gt;=14/24,B$9&lt;20/24)</formula>
    </cfRule>
    <cfRule type="expression" dxfId="5976" priority="90">
      <formula>AND(B$9&gt;=8/24,B$9&lt;14/24)</formula>
    </cfRule>
    <cfRule type="expression" dxfId="5975" priority="91">
      <formula>B$9&lt;8/24</formula>
    </cfRule>
  </conditionalFormatting>
  <conditionalFormatting sqref="B48 B65:B66 B70">
    <cfRule type="expression" dxfId="5974" priority="87">
      <formula>B48&gt;$AG48</formula>
    </cfRule>
  </conditionalFormatting>
  <conditionalFormatting sqref="B82">
    <cfRule type="expression" dxfId="5973" priority="83">
      <formula>B$9&gt;=20/24</formula>
    </cfRule>
    <cfRule type="expression" dxfId="5972" priority="84">
      <formula>AND(B$9&gt;=14/24,B$9&lt;20/24)</formula>
    </cfRule>
    <cfRule type="expression" dxfId="5971" priority="85">
      <formula>AND(B$9&gt;=8/24,B$9&lt;14/24)</formula>
    </cfRule>
    <cfRule type="expression" dxfId="5970" priority="86">
      <formula>B$9&lt;8/24</formula>
    </cfRule>
  </conditionalFormatting>
  <conditionalFormatting sqref="B52">
    <cfRule type="expression" dxfId="5969" priority="79">
      <formula>B$9&gt;=20/24</formula>
    </cfRule>
    <cfRule type="expression" dxfId="5968" priority="80">
      <formula>AND(B$9&gt;=14/24,B$9&lt;20/24)</formula>
    </cfRule>
    <cfRule type="expression" dxfId="5967" priority="81">
      <formula>AND(B$9&gt;=8/24,B$9&lt;14/24)</formula>
    </cfRule>
    <cfRule type="expression" dxfId="5966" priority="82">
      <formula>B$9&lt;8/24</formula>
    </cfRule>
  </conditionalFormatting>
  <conditionalFormatting sqref="B52">
    <cfRule type="expression" dxfId="5965" priority="78">
      <formula>B52&gt;$AG52</formula>
    </cfRule>
  </conditionalFormatting>
  <conditionalFormatting sqref="B59:P64">
    <cfRule type="expression" dxfId="5964" priority="70">
      <formula>B$9&gt;=20/24</formula>
    </cfRule>
    <cfRule type="expression" dxfId="5963" priority="71">
      <formula>AND(B$9&gt;=14/24,B$9&lt;20/24)</formula>
    </cfRule>
    <cfRule type="expression" dxfId="5962" priority="72">
      <formula>AND(B$9&gt;=8/24,B$9&lt;14/24)</formula>
    </cfRule>
    <cfRule type="expression" dxfId="5961" priority="73">
      <formula>B$9&lt;8/24</formula>
    </cfRule>
  </conditionalFormatting>
  <conditionalFormatting sqref="B59:P64">
    <cfRule type="expression" dxfId="5960" priority="69">
      <formula>B59&gt;$AG59</formula>
    </cfRule>
  </conditionalFormatting>
  <conditionalFormatting sqref="B77:L81">
    <cfRule type="expression" dxfId="5959" priority="65">
      <formula>B$9&gt;=20/24</formula>
    </cfRule>
    <cfRule type="expression" dxfId="5958" priority="66">
      <formula>AND(B$9&gt;=14/24,B$9&lt;20/24)</formula>
    </cfRule>
    <cfRule type="expression" dxfId="5957" priority="67">
      <formula>AND(B$9&gt;=8/24,B$9&lt;14/24)</formula>
    </cfRule>
    <cfRule type="expression" dxfId="5956" priority="68">
      <formula>B$9&lt;8/24</formula>
    </cfRule>
  </conditionalFormatting>
  <conditionalFormatting sqref="A11">
    <cfRule type="expression" dxfId="5955" priority="64">
      <formula>$AH11=0</formula>
    </cfRule>
  </conditionalFormatting>
  <conditionalFormatting sqref="Z11:AF11">
    <cfRule type="expression" dxfId="5954" priority="60">
      <formula>Z$9&gt;=20/24</formula>
    </cfRule>
    <cfRule type="expression" dxfId="5953" priority="61">
      <formula>AND(Z$9&gt;=14/24,Z$9&lt;20/24)</formula>
    </cfRule>
    <cfRule type="expression" dxfId="5952" priority="62">
      <formula>AND(Z$9&gt;=8/24,Z$9&lt;14/24)</formula>
    </cfRule>
    <cfRule type="expression" dxfId="5951" priority="63">
      <formula>Z$9&lt;8/24</formula>
    </cfRule>
  </conditionalFormatting>
  <conditionalFormatting sqref="Z11:AF11">
    <cfRule type="expression" dxfId="5950" priority="59">
      <formula>Z11&gt;$AG11</formula>
    </cfRule>
  </conditionalFormatting>
  <conditionalFormatting sqref="B11:Y11">
    <cfRule type="expression" dxfId="5949" priority="55">
      <formula>B$9&gt;=20/24</formula>
    </cfRule>
    <cfRule type="expression" dxfId="5948" priority="56">
      <formula>AND(B$9&gt;=14/24,B$9&lt;20/24)</formula>
    </cfRule>
    <cfRule type="expression" dxfId="5947" priority="57">
      <formula>AND(B$9&gt;=8/24,B$9&lt;14/24)</formula>
    </cfRule>
    <cfRule type="expression" dxfId="5946" priority="58">
      <formula>B$9&lt;8/24</formula>
    </cfRule>
  </conditionalFormatting>
  <conditionalFormatting sqref="B11:Y11">
    <cfRule type="expression" dxfId="5945" priority="54">
      <formula>B11&gt;$AG11</formula>
    </cfRule>
  </conditionalFormatting>
  <conditionalFormatting sqref="A16">
    <cfRule type="expression" dxfId="5944" priority="52">
      <formula>$AH16=0</formula>
    </cfRule>
  </conditionalFormatting>
  <conditionalFormatting sqref="AL16">
    <cfRule type="iconSet" priority="53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5943" priority="48">
      <formula>Z$9&gt;=20/24</formula>
    </cfRule>
    <cfRule type="expression" dxfId="5942" priority="49">
      <formula>AND(Z$9&gt;=14/24,Z$9&lt;20/24)</formula>
    </cfRule>
    <cfRule type="expression" dxfId="5941" priority="50">
      <formula>AND(Z$9&gt;=8/24,Z$9&lt;14/24)</formula>
    </cfRule>
    <cfRule type="expression" dxfId="5940" priority="51">
      <formula>Z$9&lt;8/24</formula>
    </cfRule>
  </conditionalFormatting>
  <conditionalFormatting sqref="Z16:AF16">
    <cfRule type="expression" dxfId="5939" priority="47">
      <formula>Z16&gt;$AG16</formula>
    </cfRule>
  </conditionalFormatting>
  <conditionalFormatting sqref="B16:Y16">
    <cfRule type="expression" dxfId="5938" priority="43">
      <formula>B$9&gt;=20/24</formula>
    </cfRule>
    <cfRule type="expression" dxfId="5937" priority="44">
      <formula>AND(B$9&gt;=14/24,B$9&lt;20/24)</formula>
    </cfRule>
    <cfRule type="expression" dxfId="5936" priority="45">
      <formula>AND(B$9&gt;=8/24,B$9&lt;14/24)</formula>
    </cfRule>
    <cfRule type="expression" dxfId="5935" priority="46">
      <formula>B$9&lt;8/24</formula>
    </cfRule>
  </conditionalFormatting>
  <conditionalFormatting sqref="B16:Y16">
    <cfRule type="expression" dxfId="5934" priority="42">
      <formula>B16&gt;$AG16</formula>
    </cfRule>
  </conditionalFormatting>
  <conditionalFormatting sqref="A33">
    <cfRule type="expression" dxfId="5933" priority="40">
      <formula>$AH33=0</formula>
    </cfRule>
  </conditionalFormatting>
  <conditionalFormatting sqref="AL33">
    <cfRule type="iconSet" priority="41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5932" priority="36">
      <formula>Z$9&gt;=20/24</formula>
    </cfRule>
    <cfRule type="expression" dxfId="5931" priority="37">
      <formula>AND(Z$9&gt;=14/24,Z$9&lt;20/24)</formula>
    </cfRule>
    <cfRule type="expression" dxfId="5930" priority="38">
      <formula>AND(Z$9&gt;=8/24,Z$9&lt;14/24)</formula>
    </cfRule>
    <cfRule type="expression" dxfId="5929" priority="39">
      <formula>Z$9&lt;8/24</formula>
    </cfRule>
  </conditionalFormatting>
  <conditionalFormatting sqref="Z33:AF33">
    <cfRule type="expression" dxfId="5928" priority="35">
      <formula>Z33&gt;$AG33</formula>
    </cfRule>
  </conditionalFormatting>
  <conditionalFormatting sqref="B33:Y33">
    <cfRule type="expression" dxfId="5927" priority="31">
      <formula>B$9&gt;=20/24</formula>
    </cfRule>
    <cfRule type="expression" dxfId="5926" priority="32">
      <formula>AND(B$9&gt;=14/24,B$9&lt;20/24)</formula>
    </cfRule>
    <cfRule type="expression" dxfId="5925" priority="33">
      <formula>AND(B$9&gt;=8/24,B$9&lt;14/24)</formula>
    </cfRule>
    <cfRule type="expression" dxfId="5924" priority="34">
      <formula>B$9&lt;8/24</formula>
    </cfRule>
  </conditionalFormatting>
  <conditionalFormatting sqref="B33:Y33">
    <cfRule type="expression" dxfId="5923" priority="30">
      <formula>B33&gt;$AG33</formula>
    </cfRule>
  </conditionalFormatting>
  <conditionalFormatting sqref="A44">
    <cfRule type="expression" dxfId="5922" priority="28">
      <formula>$AH44=0</formula>
    </cfRule>
  </conditionalFormatting>
  <conditionalFormatting sqref="AL44">
    <cfRule type="iconSet" priority="29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5921" priority="27">
      <formula>Z44&gt;$AG44</formula>
    </cfRule>
  </conditionalFormatting>
  <conditionalFormatting sqref="Z44:AF44">
    <cfRule type="expression" dxfId="5920" priority="23">
      <formula>Z$9&gt;=20/24</formula>
    </cfRule>
    <cfRule type="expression" dxfId="5919" priority="24">
      <formula>AND(Z$9&gt;=14/24,Z$9&lt;20/24)</formula>
    </cfRule>
    <cfRule type="expression" dxfId="5918" priority="25">
      <formula>AND(Z$9&gt;=8/24,Z$9&lt;14/24)</formula>
    </cfRule>
    <cfRule type="expression" dxfId="5917" priority="26">
      <formula>Z$9&lt;8/24</formula>
    </cfRule>
  </conditionalFormatting>
  <conditionalFormatting sqref="B44:Y44">
    <cfRule type="expression" dxfId="5916" priority="19">
      <formula>B$9&gt;=20/24</formula>
    </cfRule>
    <cfRule type="expression" dxfId="5915" priority="20">
      <formula>AND(B$9&gt;=14/24,B$9&lt;20/24)</formula>
    </cfRule>
    <cfRule type="expression" dxfId="5914" priority="21">
      <formula>AND(B$9&gt;=8/24,B$9&lt;14/24)</formula>
    </cfRule>
    <cfRule type="expression" dxfId="5913" priority="22">
      <formula>B$9&lt;8/24</formula>
    </cfRule>
  </conditionalFormatting>
  <conditionalFormatting sqref="B44:Y44">
    <cfRule type="expression" dxfId="5912" priority="18">
      <formula>B44&gt;$AG44</formula>
    </cfRule>
  </conditionalFormatting>
  <conditionalFormatting sqref="B117">
    <cfRule type="expression" dxfId="5911" priority="6">
      <formula>B$9&gt;=20/24</formula>
    </cfRule>
    <cfRule type="expression" dxfId="5910" priority="7">
      <formula>AND(B$9&gt;=14/24,B$9&lt;20/24)</formula>
    </cfRule>
    <cfRule type="expression" dxfId="5909" priority="8">
      <formula>AND(B$9&gt;=8/24,B$9&lt;14/24)</formula>
    </cfRule>
    <cfRule type="expression" dxfId="5908" priority="9">
      <formula>B$9&lt;8/24</formula>
    </cfRule>
  </conditionalFormatting>
  <conditionalFormatting sqref="D117:AF117">
    <cfRule type="expression" dxfId="5907" priority="14">
      <formula>D$9&gt;=20/24</formula>
    </cfRule>
    <cfRule type="expression" dxfId="5906" priority="15">
      <formula>AND(D$9&gt;=14/24,D$9&lt;20/24)</formula>
    </cfRule>
    <cfRule type="expression" dxfId="5905" priority="16">
      <formula>AND(D$9&gt;=8/24,D$9&lt;14/24)</formula>
    </cfRule>
    <cfRule type="expression" dxfId="5904" priority="17">
      <formula>D$9&lt;8/24</formula>
    </cfRule>
  </conditionalFormatting>
  <conditionalFormatting sqref="C117">
    <cfRule type="expression" dxfId="5903" priority="10">
      <formula>C$9&gt;=20/24</formula>
    </cfRule>
    <cfRule type="expression" dxfId="5902" priority="11">
      <formula>AND(C$9&gt;=14/24,C$9&lt;20/24)</formula>
    </cfRule>
    <cfRule type="expression" dxfId="5901" priority="12">
      <formula>AND(C$9&gt;=8/24,C$9&lt;14/24)</formula>
    </cfRule>
    <cfRule type="expression" dxfId="5900" priority="13">
      <formula>C$9&lt;8/24</formula>
    </cfRule>
  </conditionalFormatting>
  <conditionalFormatting sqref="AL17">
    <cfRule type="expression" dxfId="5899" priority="2">
      <formula>AL$9&gt;=20/24</formula>
    </cfRule>
    <cfRule type="expression" dxfId="5898" priority="3">
      <formula>AND(AL$9&gt;=14/24,AL$9&lt;20/24)</formula>
    </cfRule>
    <cfRule type="expression" dxfId="5897" priority="4">
      <formula>AND(AL$9&gt;=8/24,AL$9&lt;14/24)</formula>
    </cfRule>
    <cfRule type="expression" dxfId="5896" priority="5">
      <formula>AL$9&lt;8/24</formula>
    </cfRule>
  </conditionalFormatting>
  <conditionalFormatting sqref="AL17">
    <cfRule type="expression" dxfId="5895" priority="1">
      <formula>AL17&gt;$AG17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6" id="{87778562-E911-463B-AEDB-7E52BDEED65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7" id="{9EBF1619-6EB5-4FD2-AEA0-6A7E5255769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8" id="{43788DB5-2BBE-4A64-BC8A-C8F1A42CEE5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9" id="{A6D28CC5-E029-4479-9470-C42BEEED81C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74" id="{C74531EA-8DC1-4A3B-B8E9-CA427A52181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5" id="{52625BB3-1670-44F5-9F2E-268BB64AA7F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6" id="{47AB744B-1F40-47FC-9FF5-08122112A5D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7" id="{57AFE7B9-9646-4C14-84D5-CE4E8B83ABA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Normal="100" workbookViewId="0">
      <pane ySplit="10" topLeftCell="A56" activePane="bottomLeft" state="frozen"/>
      <selection activeCell="Z85" sqref="Z85"/>
      <selection pane="bottomLeft" activeCell="M70" sqref="B70:M70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2079/12/12</v>
      </c>
      <c r="C4" s="236"/>
      <c r="D4" s="236"/>
      <c r="E4" s="237" t="str">
        <f ca="1">"2079/"&amp;"12/"&amp;INT(MID(CELL("filename",G6),FIND("]",CELL("filename",G6))+1,200))</f>
        <v>2079/12/12</v>
      </c>
      <c r="F4" s="237"/>
      <c r="G4" s="237"/>
      <c r="H4" s="237" t="str">
        <f ca="1">TEXT(E4,"dddd")</f>
        <v>Tuesday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383</v>
      </c>
      <c r="C5" s="33">
        <f t="shared" si="0"/>
        <v>396</v>
      </c>
      <c r="D5" s="33">
        <f t="shared" si="0"/>
        <v>403</v>
      </c>
      <c r="E5" s="33">
        <f t="shared" si="0"/>
        <v>403</v>
      </c>
      <c r="F5" s="33">
        <f t="shared" si="0"/>
        <v>403</v>
      </c>
      <c r="G5" s="33">
        <f t="shared" si="0"/>
        <v>461</v>
      </c>
      <c r="H5" s="33">
        <f t="shared" si="0"/>
        <v>439</v>
      </c>
      <c r="I5" s="33">
        <f t="shared" si="0"/>
        <v>434</v>
      </c>
      <c r="J5" s="33">
        <f t="shared" si="0"/>
        <v>482</v>
      </c>
      <c r="K5" s="33">
        <f t="shared" si="0"/>
        <v>517</v>
      </c>
      <c r="L5" s="33">
        <f t="shared" si="0"/>
        <v>523.20000000000005</v>
      </c>
      <c r="M5" s="33">
        <f t="shared" si="0"/>
        <v>536.5</v>
      </c>
      <c r="N5" s="33">
        <f t="shared" si="0"/>
        <v>530.1</v>
      </c>
      <c r="O5" s="33">
        <f t="shared" si="0"/>
        <v>572</v>
      </c>
      <c r="P5" s="33">
        <f t="shared" si="0"/>
        <v>561.9</v>
      </c>
      <c r="Q5" s="33">
        <f t="shared" si="0"/>
        <v>574.5</v>
      </c>
      <c r="R5" s="33">
        <f t="shared" si="0"/>
        <v>573.20000000000005</v>
      </c>
      <c r="S5" s="33">
        <f t="shared" si="0"/>
        <v>553.90000000000009</v>
      </c>
      <c r="T5" s="33">
        <f t="shared" si="0"/>
        <v>550.90000000000009</v>
      </c>
      <c r="U5" s="33">
        <f t="shared" si="0"/>
        <v>531.29999999999995</v>
      </c>
      <c r="V5" s="33">
        <f t="shared" si="0"/>
        <v>527.4</v>
      </c>
      <c r="W5" s="33">
        <f t="shared" si="0"/>
        <v>527</v>
      </c>
      <c r="X5" s="33">
        <f t="shared" si="0"/>
        <v>545.70000000000005</v>
      </c>
      <c r="Y5" s="33">
        <f t="shared" si="0"/>
        <v>556.9</v>
      </c>
      <c r="Z5" s="33">
        <f t="shared" si="0"/>
        <v>572.6</v>
      </c>
      <c r="AA5" s="33">
        <f t="shared" si="0"/>
        <v>517.70000000000005</v>
      </c>
      <c r="AB5" s="33">
        <f t="shared" si="0"/>
        <v>529.70000000000005</v>
      </c>
      <c r="AC5" s="33">
        <f t="shared" si="0"/>
        <v>533.9</v>
      </c>
      <c r="AD5" s="33">
        <f t="shared" si="0"/>
        <v>524.30000000000007</v>
      </c>
      <c r="AE5" s="33">
        <f t="shared" si="0"/>
        <v>555.9</v>
      </c>
      <c r="AF5" s="33">
        <f>B82</f>
        <v>500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1490MW at 7:30hr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Load=1159</v>
      </c>
      <c r="B7" s="38">
        <f t="shared" ref="B7:AF7" si="1">B89</f>
        <v>1243.6399999999999</v>
      </c>
      <c r="C7" s="38">
        <f t="shared" si="1"/>
        <v>1193.6399999999999</v>
      </c>
      <c r="D7" s="38">
        <f t="shared" si="1"/>
        <v>1185.6399999999999</v>
      </c>
      <c r="E7" s="38">
        <f t="shared" si="1"/>
        <v>1178.6399999999999</v>
      </c>
      <c r="F7" s="38">
        <f t="shared" si="1"/>
        <v>1158.6399999999999</v>
      </c>
      <c r="G7" s="38">
        <f t="shared" si="1"/>
        <v>1182.6399999999999</v>
      </c>
      <c r="H7" s="38">
        <f t="shared" si="1"/>
        <v>1275.6399999999999</v>
      </c>
      <c r="I7" s="38">
        <f t="shared" si="1"/>
        <v>1318.6399999999999</v>
      </c>
      <c r="J7" s="38">
        <f t="shared" si="1"/>
        <v>1353.6399999999999</v>
      </c>
      <c r="K7" s="38">
        <f t="shared" si="1"/>
        <v>1481.6399999999999</v>
      </c>
      <c r="L7" s="38">
        <f t="shared" si="1"/>
        <v>1489.6399999999999</v>
      </c>
      <c r="M7" s="38">
        <f t="shared" si="1"/>
        <v>1478.44</v>
      </c>
      <c r="N7" s="38">
        <f>N89</f>
        <v>1439.2399999999998</v>
      </c>
      <c r="O7" s="38">
        <f t="shared" si="1"/>
        <v>1482.34</v>
      </c>
      <c r="P7" s="38">
        <f t="shared" si="1"/>
        <v>1486.9399999999998</v>
      </c>
      <c r="Q7" s="38">
        <f t="shared" si="1"/>
        <v>1469.6399999999999</v>
      </c>
      <c r="R7" s="38">
        <f t="shared" si="1"/>
        <v>1482.24</v>
      </c>
      <c r="S7" s="38">
        <f t="shared" si="1"/>
        <v>1530.84</v>
      </c>
      <c r="T7" s="38">
        <f t="shared" si="1"/>
        <v>1514.6399999999999</v>
      </c>
      <c r="U7" s="38">
        <f t="shared" si="1"/>
        <v>1624.74</v>
      </c>
      <c r="V7" s="38">
        <f t="shared" si="1"/>
        <v>1510.4399999999998</v>
      </c>
      <c r="W7" s="38">
        <f t="shared" si="1"/>
        <v>1464.1399999999999</v>
      </c>
      <c r="X7" s="38">
        <f t="shared" si="1"/>
        <v>1473.1399999999999</v>
      </c>
      <c r="Y7" s="38">
        <f t="shared" si="1"/>
        <v>1494.04</v>
      </c>
      <c r="Z7" s="38">
        <f t="shared" si="1"/>
        <v>1689.1399999999999</v>
      </c>
      <c r="AA7" s="38">
        <f t="shared" si="1"/>
        <v>1666.44</v>
      </c>
      <c r="AB7" s="38">
        <f t="shared" si="1"/>
        <v>1587.8400000000001</v>
      </c>
      <c r="AC7" s="38">
        <f t="shared" si="1"/>
        <v>1573.6399999999999</v>
      </c>
      <c r="AD7" s="38">
        <f t="shared" si="1"/>
        <v>1538.7399999999998</v>
      </c>
      <c r="AE7" s="38">
        <f t="shared" si="1"/>
        <v>1271.1399999999999</v>
      </c>
      <c r="AF7" s="38">
        <f t="shared" si="1"/>
        <v>1341.24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32</v>
      </c>
      <c r="C11" s="50">
        <v>34</v>
      </c>
      <c r="D11" s="50">
        <v>34</v>
      </c>
      <c r="E11" s="50">
        <v>30</v>
      </c>
      <c r="F11" s="50">
        <v>30</v>
      </c>
      <c r="G11" s="50">
        <v>30</v>
      </c>
      <c r="H11" s="50">
        <v>30</v>
      </c>
      <c r="I11" s="50">
        <v>30</v>
      </c>
      <c r="J11" s="50">
        <v>30</v>
      </c>
      <c r="K11" s="50">
        <v>30</v>
      </c>
      <c r="L11" s="50">
        <v>30</v>
      </c>
      <c r="M11" s="50">
        <v>30</v>
      </c>
      <c r="N11" s="50">
        <v>30</v>
      </c>
      <c r="O11" s="50">
        <v>30</v>
      </c>
      <c r="P11" s="50">
        <v>30</v>
      </c>
      <c r="Q11" s="50">
        <v>30</v>
      </c>
      <c r="R11" s="50">
        <v>30</v>
      </c>
      <c r="S11" s="50">
        <v>30</v>
      </c>
      <c r="T11" s="50">
        <v>30</v>
      </c>
      <c r="U11" s="50">
        <v>30</v>
      </c>
      <c r="V11" s="50">
        <v>30</v>
      </c>
      <c r="W11" s="50">
        <v>30</v>
      </c>
      <c r="X11" s="50">
        <v>30</v>
      </c>
      <c r="Y11" s="50">
        <v>30</v>
      </c>
      <c r="Z11" s="50">
        <v>20</v>
      </c>
      <c r="AA11" s="50">
        <v>20</v>
      </c>
      <c r="AB11" s="50">
        <v>14</v>
      </c>
      <c r="AC11" s="50">
        <v>14</v>
      </c>
      <c r="AD11" s="50">
        <v>14</v>
      </c>
      <c r="AE11" s="50">
        <v>12</v>
      </c>
      <c r="AF11" s="50">
        <v>24</v>
      </c>
      <c r="AG11" s="51">
        <v>86</v>
      </c>
      <c r="AH11" s="52">
        <f t="shared" ref="AH11:AH74" si="2">MAX(B11:AF11)</f>
        <v>34</v>
      </c>
      <c r="AI11" s="53">
        <f t="shared" ref="AI11:AI74" si="3">MIN(B11:AF11)</f>
        <v>12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14</v>
      </c>
      <c r="C12" s="50">
        <v>14</v>
      </c>
      <c r="D12" s="50">
        <v>14</v>
      </c>
      <c r="E12" s="50">
        <v>14</v>
      </c>
      <c r="F12" s="50">
        <v>14</v>
      </c>
      <c r="G12" s="50">
        <v>14</v>
      </c>
      <c r="H12" s="50">
        <v>14</v>
      </c>
      <c r="I12" s="50">
        <v>14</v>
      </c>
      <c r="J12" s="50">
        <v>14</v>
      </c>
      <c r="K12" s="50">
        <v>14</v>
      </c>
      <c r="L12" s="50">
        <v>14</v>
      </c>
      <c r="M12" s="50">
        <v>14</v>
      </c>
      <c r="N12" s="50">
        <v>14</v>
      </c>
      <c r="O12" s="50">
        <v>14</v>
      </c>
      <c r="P12" s="50">
        <v>14</v>
      </c>
      <c r="Q12" s="50">
        <v>14</v>
      </c>
      <c r="R12" s="50">
        <v>14</v>
      </c>
      <c r="S12" s="50">
        <v>14</v>
      </c>
      <c r="T12" s="50">
        <v>14</v>
      </c>
      <c r="U12" s="50">
        <v>14</v>
      </c>
      <c r="V12" s="50">
        <v>14</v>
      </c>
      <c r="W12" s="50">
        <v>14</v>
      </c>
      <c r="X12" s="50">
        <v>14</v>
      </c>
      <c r="Y12" s="50">
        <v>14</v>
      </c>
      <c r="Z12" s="50">
        <v>14</v>
      </c>
      <c r="AA12" s="50">
        <v>14</v>
      </c>
      <c r="AB12" s="50">
        <v>16.100000000000001</v>
      </c>
      <c r="AC12" s="50">
        <v>16.2</v>
      </c>
      <c r="AD12" s="50">
        <v>16.899999999999999</v>
      </c>
      <c r="AE12" s="50">
        <v>16</v>
      </c>
      <c r="AF12" s="50">
        <v>15</v>
      </c>
      <c r="AG12" s="51">
        <v>52.4</v>
      </c>
      <c r="AH12" s="52">
        <f t="shared" si="2"/>
        <v>16.899999999999999</v>
      </c>
      <c r="AI12" s="53">
        <f t="shared" si="3"/>
        <v>14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32</v>
      </c>
      <c r="C13" s="50">
        <v>32</v>
      </c>
      <c r="D13" s="50">
        <v>32</v>
      </c>
      <c r="E13" s="50">
        <v>32</v>
      </c>
      <c r="F13" s="50">
        <v>32</v>
      </c>
      <c r="G13" s="50">
        <v>32</v>
      </c>
      <c r="H13" s="50">
        <v>32</v>
      </c>
      <c r="I13" s="50">
        <v>32</v>
      </c>
      <c r="J13" s="50">
        <v>32</v>
      </c>
      <c r="K13" s="50">
        <v>32</v>
      </c>
      <c r="L13" s="50">
        <v>32</v>
      </c>
      <c r="M13" s="50">
        <v>32</v>
      </c>
      <c r="N13" s="50">
        <v>32</v>
      </c>
      <c r="O13" s="50">
        <v>32</v>
      </c>
      <c r="P13" s="50">
        <v>32</v>
      </c>
      <c r="Q13" s="50">
        <v>32</v>
      </c>
      <c r="R13" s="50">
        <v>32</v>
      </c>
      <c r="S13" s="50">
        <v>32</v>
      </c>
      <c r="T13" s="50">
        <v>32</v>
      </c>
      <c r="U13" s="50">
        <v>32</v>
      </c>
      <c r="V13" s="50">
        <v>32</v>
      </c>
      <c r="W13" s="50">
        <v>32</v>
      </c>
      <c r="X13" s="50">
        <v>32</v>
      </c>
      <c r="Y13" s="50">
        <v>32</v>
      </c>
      <c r="Z13" s="50">
        <v>29</v>
      </c>
      <c r="AA13" s="50">
        <v>29</v>
      </c>
      <c r="AB13" s="50">
        <v>29</v>
      </c>
      <c r="AC13" s="50">
        <v>29.6</v>
      </c>
      <c r="AD13" s="50">
        <v>29.8</v>
      </c>
      <c r="AE13" s="50">
        <v>29.4</v>
      </c>
      <c r="AF13" s="50">
        <v>30</v>
      </c>
      <c r="AG13" s="55">
        <v>50</v>
      </c>
      <c r="AH13" s="52">
        <f t="shared" si="2"/>
        <v>32</v>
      </c>
      <c r="AI13" s="53">
        <f t="shared" si="3"/>
        <v>29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14.8</v>
      </c>
      <c r="C14" s="50">
        <v>14.8</v>
      </c>
      <c r="D14" s="50">
        <v>14.8</v>
      </c>
      <c r="E14" s="50">
        <v>14.8</v>
      </c>
      <c r="F14" s="50">
        <v>14.8</v>
      </c>
      <c r="G14" s="50">
        <v>14.8</v>
      </c>
      <c r="H14" s="50">
        <v>14.8</v>
      </c>
      <c r="I14" s="50">
        <v>14.8</v>
      </c>
      <c r="J14" s="50">
        <v>14.8</v>
      </c>
      <c r="K14" s="50">
        <v>14.8</v>
      </c>
      <c r="L14" s="50">
        <v>14.8</v>
      </c>
      <c r="M14" s="50">
        <v>14.8</v>
      </c>
      <c r="N14" s="50">
        <v>14.8</v>
      </c>
      <c r="O14" s="50">
        <v>14.8</v>
      </c>
      <c r="P14" s="50">
        <v>14.8</v>
      </c>
      <c r="Q14" s="50">
        <v>14.8</v>
      </c>
      <c r="R14" s="50">
        <v>14.8</v>
      </c>
      <c r="S14" s="50">
        <v>14.8</v>
      </c>
      <c r="T14" s="50">
        <v>14.8</v>
      </c>
      <c r="U14" s="50">
        <v>14.8</v>
      </c>
      <c r="V14" s="50">
        <v>14.8</v>
      </c>
      <c r="W14" s="50">
        <v>14.8</v>
      </c>
      <c r="X14" s="50">
        <v>14.8</v>
      </c>
      <c r="Y14" s="50">
        <v>14.8</v>
      </c>
      <c r="Z14" s="50">
        <v>14.8</v>
      </c>
      <c r="AA14" s="50">
        <v>14.8</v>
      </c>
      <c r="AB14" s="50">
        <v>15.7</v>
      </c>
      <c r="AC14" s="50">
        <v>15.7</v>
      </c>
      <c r="AD14" s="50">
        <v>15.8</v>
      </c>
      <c r="AE14" s="50">
        <v>15.6</v>
      </c>
      <c r="AF14" s="50">
        <v>15.7</v>
      </c>
      <c r="AG14" s="55">
        <v>45</v>
      </c>
      <c r="AH14" s="52">
        <f t="shared" si="2"/>
        <v>15.8</v>
      </c>
      <c r="AI14" s="53">
        <f t="shared" si="3"/>
        <v>14.8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10</v>
      </c>
      <c r="C15" s="50">
        <v>10</v>
      </c>
      <c r="D15" s="50">
        <v>10</v>
      </c>
      <c r="E15" s="50">
        <v>10</v>
      </c>
      <c r="F15" s="50">
        <v>10</v>
      </c>
      <c r="G15" s="50">
        <v>10</v>
      </c>
      <c r="H15" s="50">
        <v>10</v>
      </c>
      <c r="I15" s="50">
        <v>10</v>
      </c>
      <c r="J15" s="50">
        <v>10</v>
      </c>
      <c r="K15" s="50">
        <v>10</v>
      </c>
      <c r="L15" s="50">
        <v>10</v>
      </c>
      <c r="M15" s="50">
        <v>10</v>
      </c>
      <c r="N15" s="50">
        <v>10</v>
      </c>
      <c r="O15" s="50">
        <v>10</v>
      </c>
      <c r="P15" s="50">
        <v>10</v>
      </c>
      <c r="Q15" s="50">
        <v>10</v>
      </c>
      <c r="R15" s="50">
        <v>10</v>
      </c>
      <c r="S15" s="50">
        <v>10</v>
      </c>
      <c r="T15" s="50">
        <v>10</v>
      </c>
      <c r="U15" s="50">
        <v>10</v>
      </c>
      <c r="V15" s="50">
        <v>10</v>
      </c>
      <c r="W15" s="50">
        <v>10</v>
      </c>
      <c r="X15" s="50">
        <v>10</v>
      </c>
      <c r="Y15" s="50">
        <v>10</v>
      </c>
      <c r="Z15" s="50">
        <v>12</v>
      </c>
      <c r="AA15" s="50">
        <v>12</v>
      </c>
      <c r="AB15" s="50">
        <v>12</v>
      </c>
      <c r="AC15" s="50">
        <v>11</v>
      </c>
      <c r="AD15" s="50">
        <v>11</v>
      </c>
      <c r="AE15" s="50">
        <v>11</v>
      </c>
      <c r="AF15" s="50">
        <v>11</v>
      </c>
      <c r="AG15" s="55">
        <v>42</v>
      </c>
      <c r="AH15" s="52">
        <f t="shared" si="2"/>
        <v>12</v>
      </c>
      <c r="AI15" s="53">
        <f t="shared" si="3"/>
        <v>10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14</v>
      </c>
      <c r="C16" s="50">
        <v>14</v>
      </c>
      <c r="D16" s="50">
        <v>14</v>
      </c>
      <c r="E16" s="50">
        <v>14</v>
      </c>
      <c r="F16" s="50">
        <v>14</v>
      </c>
      <c r="G16" s="50">
        <v>14</v>
      </c>
      <c r="H16" s="50">
        <v>14</v>
      </c>
      <c r="I16" s="50">
        <v>14</v>
      </c>
      <c r="J16" s="50">
        <v>14</v>
      </c>
      <c r="K16" s="50">
        <v>14</v>
      </c>
      <c r="L16" s="50">
        <v>14</v>
      </c>
      <c r="M16" s="50">
        <v>14</v>
      </c>
      <c r="N16" s="50">
        <v>14</v>
      </c>
      <c r="O16" s="50">
        <v>14</v>
      </c>
      <c r="P16" s="50">
        <v>14</v>
      </c>
      <c r="Q16" s="50">
        <v>14</v>
      </c>
      <c r="R16" s="50">
        <v>14</v>
      </c>
      <c r="S16" s="50">
        <v>14</v>
      </c>
      <c r="T16" s="50">
        <v>14</v>
      </c>
      <c r="U16" s="50">
        <v>14</v>
      </c>
      <c r="V16" s="50">
        <v>14</v>
      </c>
      <c r="W16" s="50">
        <v>14</v>
      </c>
      <c r="X16" s="50">
        <v>14</v>
      </c>
      <c r="Y16" s="50">
        <v>14</v>
      </c>
      <c r="Z16" s="50">
        <v>14</v>
      </c>
      <c r="AA16" s="50">
        <v>14</v>
      </c>
      <c r="AB16" s="50">
        <v>14</v>
      </c>
      <c r="AC16" s="50">
        <v>14</v>
      </c>
      <c r="AD16" s="50">
        <v>14</v>
      </c>
      <c r="AE16" s="50">
        <v>14</v>
      </c>
      <c r="AF16" s="50">
        <v>14</v>
      </c>
      <c r="AG16" s="55">
        <v>36</v>
      </c>
      <c r="AH16" s="52">
        <f t="shared" si="2"/>
        <v>14</v>
      </c>
      <c r="AI16" s="53">
        <f t="shared" si="3"/>
        <v>14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9.6999999999999993</v>
      </c>
      <c r="C18" s="50">
        <v>9.6999999999999993</v>
      </c>
      <c r="D18" s="50">
        <v>9.6999999999999993</v>
      </c>
      <c r="E18" s="50">
        <v>9.6999999999999993</v>
      </c>
      <c r="F18" s="50">
        <v>9.6999999999999993</v>
      </c>
      <c r="G18" s="50">
        <v>9.6999999999999993</v>
      </c>
      <c r="H18" s="50">
        <v>9.6999999999999993</v>
      </c>
      <c r="I18" s="50">
        <v>9.6999999999999993</v>
      </c>
      <c r="J18" s="50">
        <v>9.6999999999999993</v>
      </c>
      <c r="K18" s="50">
        <v>9.6999999999999993</v>
      </c>
      <c r="L18" s="50">
        <v>9.6999999999999993</v>
      </c>
      <c r="M18" s="50">
        <v>9.6999999999999993</v>
      </c>
      <c r="N18" s="50">
        <v>9.6999999999999993</v>
      </c>
      <c r="O18" s="50">
        <v>9.6999999999999993</v>
      </c>
      <c r="P18" s="50">
        <v>9.6999999999999993</v>
      </c>
      <c r="Q18" s="50">
        <v>9.6999999999999993</v>
      </c>
      <c r="R18" s="50">
        <v>9.6999999999999993</v>
      </c>
      <c r="S18" s="50">
        <v>9.6999999999999993</v>
      </c>
      <c r="T18" s="50">
        <v>9.6999999999999993</v>
      </c>
      <c r="U18" s="50">
        <v>9.6999999999999993</v>
      </c>
      <c r="V18" s="50">
        <v>9.6999999999999993</v>
      </c>
      <c r="W18" s="50">
        <v>9.6999999999999993</v>
      </c>
      <c r="X18" s="50">
        <v>9.6999999999999993</v>
      </c>
      <c r="Y18" s="50">
        <v>9.6999999999999993</v>
      </c>
      <c r="Z18" s="50">
        <v>8.3000000000000007</v>
      </c>
      <c r="AA18" s="50">
        <v>8.3000000000000007</v>
      </c>
      <c r="AB18" s="50">
        <v>8.3000000000000007</v>
      </c>
      <c r="AC18" s="50">
        <v>8.6</v>
      </c>
      <c r="AD18" s="50">
        <v>8.8000000000000007</v>
      </c>
      <c r="AE18" s="50">
        <v>8.9</v>
      </c>
      <c r="AF18" s="50">
        <v>8.9</v>
      </c>
      <c r="AG18" s="56">
        <v>30</v>
      </c>
      <c r="AH18" s="52">
        <f t="shared" si="2"/>
        <v>9.6999999999999993</v>
      </c>
      <c r="AI18" s="53">
        <f t="shared" si="3"/>
        <v>8.3000000000000007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6.6</v>
      </c>
      <c r="C19" s="50">
        <v>6.6</v>
      </c>
      <c r="D19" s="50">
        <v>6.6</v>
      </c>
      <c r="E19" s="50">
        <v>6.6</v>
      </c>
      <c r="F19" s="50">
        <v>6.6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6.6</v>
      </c>
      <c r="N19" s="50">
        <v>6.6</v>
      </c>
      <c r="O19" s="50">
        <v>6.6</v>
      </c>
      <c r="P19" s="50">
        <v>6.6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7.2</v>
      </c>
      <c r="AA19" s="50">
        <v>7.2</v>
      </c>
      <c r="AB19" s="50">
        <v>7.2</v>
      </c>
      <c r="AC19" s="50">
        <v>7.1</v>
      </c>
      <c r="AD19" s="50">
        <v>6.6</v>
      </c>
      <c r="AE19" s="50">
        <v>4.5999999999999996</v>
      </c>
      <c r="AF19" s="50">
        <v>4.5999999999999996</v>
      </c>
      <c r="AG19" s="55">
        <v>24.2</v>
      </c>
      <c r="AH19" s="52">
        <f t="shared" si="2"/>
        <v>7.2</v>
      </c>
      <c r="AI19" s="53">
        <f t="shared" si="3"/>
        <v>4.5999999999999996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11</v>
      </c>
      <c r="C20" s="50">
        <v>11</v>
      </c>
      <c r="D20" s="50">
        <v>11</v>
      </c>
      <c r="E20" s="50">
        <v>11</v>
      </c>
      <c r="F20" s="50">
        <v>11</v>
      </c>
      <c r="G20" s="50">
        <v>11</v>
      </c>
      <c r="H20" s="50">
        <v>11</v>
      </c>
      <c r="I20" s="50">
        <v>11</v>
      </c>
      <c r="J20" s="50">
        <v>11</v>
      </c>
      <c r="K20" s="50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55">
        <v>28</v>
      </c>
      <c r="AH20" s="52">
        <f t="shared" si="2"/>
        <v>11</v>
      </c>
      <c r="AI20" s="53">
        <f t="shared" si="3"/>
        <v>11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6.5</v>
      </c>
      <c r="C21" s="50">
        <v>6.5</v>
      </c>
      <c r="D21" s="50">
        <v>6.5</v>
      </c>
      <c r="E21" s="50">
        <v>6.5</v>
      </c>
      <c r="F21" s="50">
        <v>6.5</v>
      </c>
      <c r="G21" s="50">
        <v>6.5</v>
      </c>
      <c r="H21" s="50">
        <v>6.5</v>
      </c>
      <c r="I21" s="50">
        <v>6.5</v>
      </c>
      <c r="J21" s="50">
        <v>6.5</v>
      </c>
      <c r="K21" s="50">
        <v>6.5</v>
      </c>
      <c r="L21" s="50">
        <v>6.5</v>
      </c>
      <c r="M21" s="50">
        <v>6.5</v>
      </c>
      <c r="N21" s="50">
        <v>6.5</v>
      </c>
      <c r="O21" s="50">
        <v>6.5</v>
      </c>
      <c r="P21" s="50">
        <v>6.5</v>
      </c>
      <c r="Q21" s="50">
        <v>6.5</v>
      </c>
      <c r="R21" s="50">
        <v>6.5</v>
      </c>
      <c r="S21" s="50">
        <v>6.5</v>
      </c>
      <c r="T21" s="50">
        <v>6.5</v>
      </c>
      <c r="U21" s="50">
        <v>6.5</v>
      </c>
      <c r="V21" s="50">
        <v>6.5</v>
      </c>
      <c r="W21" s="50">
        <v>6.5</v>
      </c>
      <c r="X21" s="50">
        <v>6.5</v>
      </c>
      <c r="Y21" s="50">
        <v>6.5</v>
      </c>
      <c r="Z21" s="50">
        <v>6.5</v>
      </c>
      <c r="AA21" s="50">
        <v>6.5</v>
      </c>
      <c r="AB21" s="50">
        <v>6.5</v>
      </c>
      <c r="AC21" s="50">
        <v>6.5</v>
      </c>
      <c r="AD21" s="50">
        <v>6.5</v>
      </c>
      <c r="AE21" s="50">
        <v>6.5</v>
      </c>
      <c r="AF21" s="50">
        <v>6.5</v>
      </c>
      <c r="AG21" s="56">
        <v>30</v>
      </c>
      <c r="AH21" s="52">
        <f t="shared" si="2"/>
        <v>6.5</v>
      </c>
      <c r="AI21" s="53">
        <f t="shared" si="3"/>
        <v>6.5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8.1999999999999993</v>
      </c>
      <c r="C22" s="50">
        <v>8.1999999999999993</v>
      </c>
      <c r="D22" s="50">
        <v>8.1999999999999993</v>
      </c>
      <c r="E22" s="50">
        <v>8.1999999999999993</v>
      </c>
      <c r="F22" s="50">
        <v>8.1999999999999993</v>
      </c>
      <c r="G22" s="50">
        <v>8.1999999999999993</v>
      </c>
      <c r="H22" s="50">
        <v>8.1999999999999993</v>
      </c>
      <c r="I22" s="50">
        <v>8.1999999999999993</v>
      </c>
      <c r="J22" s="50">
        <v>8.1999999999999993</v>
      </c>
      <c r="K22" s="50">
        <v>8.1999999999999993</v>
      </c>
      <c r="L22" s="50">
        <v>8.1999999999999993</v>
      </c>
      <c r="M22" s="50">
        <v>8.1999999999999993</v>
      </c>
      <c r="N22" s="50">
        <v>8.1999999999999993</v>
      </c>
      <c r="O22" s="50">
        <v>8.1999999999999993</v>
      </c>
      <c r="P22" s="50">
        <v>8.1999999999999993</v>
      </c>
      <c r="Q22" s="50">
        <v>8.1999999999999993</v>
      </c>
      <c r="R22" s="50">
        <v>8.1999999999999993</v>
      </c>
      <c r="S22" s="50">
        <v>8.1999999999999993</v>
      </c>
      <c r="T22" s="50">
        <v>8.1999999999999993</v>
      </c>
      <c r="U22" s="50">
        <v>8.1999999999999993</v>
      </c>
      <c r="V22" s="50">
        <v>8.1999999999999993</v>
      </c>
      <c r="W22" s="50">
        <v>8.1999999999999993</v>
      </c>
      <c r="X22" s="50">
        <v>8.1999999999999993</v>
      </c>
      <c r="Y22" s="50">
        <v>8.1999999999999993</v>
      </c>
      <c r="Z22" s="50">
        <v>8.1999999999999993</v>
      </c>
      <c r="AA22" s="50">
        <v>8.1999999999999993</v>
      </c>
      <c r="AB22" s="50">
        <v>8.1999999999999993</v>
      </c>
      <c r="AC22" s="50">
        <v>8.8000000000000007</v>
      </c>
      <c r="AD22" s="50">
        <v>8.8000000000000007</v>
      </c>
      <c r="AE22" s="50">
        <v>8.6</v>
      </c>
      <c r="AF22" s="50">
        <v>8.6</v>
      </c>
      <c r="AG22" s="55">
        <v>25</v>
      </c>
      <c r="AH22" s="52">
        <f t="shared" si="2"/>
        <v>8.8000000000000007</v>
      </c>
      <c r="AI22" s="53">
        <f t="shared" si="3"/>
        <v>8.1999999999999993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9.4</v>
      </c>
      <c r="C23" s="50">
        <v>9.4</v>
      </c>
      <c r="D23" s="50">
        <v>9.4</v>
      </c>
      <c r="E23" s="50">
        <v>9.4</v>
      </c>
      <c r="F23" s="50">
        <v>9.4</v>
      </c>
      <c r="G23" s="50">
        <v>9.4</v>
      </c>
      <c r="H23" s="50">
        <v>9.4</v>
      </c>
      <c r="I23" s="50">
        <v>9.4</v>
      </c>
      <c r="J23" s="50">
        <v>9.4</v>
      </c>
      <c r="K23" s="50">
        <v>9.4</v>
      </c>
      <c r="L23" s="50">
        <v>9.4</v>
      </c>
      <c r="M23" s="50">
        <v>9.4</v>
      </c>
      <c r="N23" s="50">
        <v>9.4</v>
      </c>
      <c r="O23" s="50">
        <v>9.4</v>
      </c>
      <c r="P23" s="50">
        <v>9.4</v>
      </c>
      <c r="Q23" s="50">
        <v>9.4</v>
      </c>
      <c r="R23" s="50">
        <v>9.4</v>
      </c>
      <c r="S23" s="50">
        <v>9.4</v>
      </c>
      <c r="T23" s="50">
        <v>9.4</v>
      </c>
      <c r="U23" s="50">
        <v>9.4</v>
      </c>
      <c r="V23" s="50">
        <v>9.4</v>
      </c>
      <c r="W23" s="50">
        <v>9.4</v>
      </c>
      <c r="X23" s="50">
        <v>9.4</v>
      </c>
      <c r="Y23" s="50">
        <v>9.4</v>
      </c>
      <c r="Z23" s="50">
        <v>9.4</v>
      </c>
      <c r="AA23" s="50">
        <v>9.4</v>
      </c>
      <c r="AB23" s="50">
        <v>9.4</v>
      </c>
      <c r="AC23" s="50">
        <v>9.4</v>
      </c>
      <c r="AD23" s="50">
        <v>9.4</v>
      </c>
      <c r="AE23" s="50">
        <v>9.4</v>
      </c>
      <c r="AF23" s="50">
        <v>9.4</v>
      </c>
      <c r="AG23" s="55">
        <v>25</v>
      </c>
      <c r="AH23" s="52">
        <f t="shared" si="2"/>
        <v>9.4</v>
      </c>
      <c r="AI23" s="53">
        <f t="shared" si="3"/>
        <v>9.4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6.2</v>
      </c>
      <c r="C26" s="50">
        <v>6.2</v>
      </c>
      <c r="D26" s="50">
        <v>6.2</v>
      </c>
      <c r="E26" s="50">
        <v>6.2</v>
      </c>
      <c r="F26" s="50">
        <v>6.2</v>
      </c>
      <c r="G26" s="50">
        <v>6.2</v>
      </c>
      <c r="H26" s="50">
        <v>6.2</v>
      </c>
      <c r="I26" s="50">
        <v>6.2</v>
      </c>
      <c r="J26" s="50">
        <v>6.2</v>
      </c>
      <c r="K26" s="50">
        <v>6.2</v>
      </c>
      <c r="L26" s="50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0</v>
      </c>
      <c r="AA26" s="50">
        <v>0</v>
      </c>
      <c r="AB26" s="50">
        <v>0</v>
      </c>
      <c r="AC26" s="50">
        <v>5.4</v>
      </c>
      <c r="AD26" s="50">
        <v>5.4</v>
      </c>
      <c r="AE26" s="50">
        <v>6.6</v>
      </c>
      <c r="AF26" s="50">
        <v>6.6</v>
      </c>
      <c r="AG26" s="55">
        <v>23.5</v>
      </c>
      <c r="AH26" s="52">
        <f t="shared" si="2"/>
        <v>6.6</v>
      </c>
      <c r="AI26" s="53">
        <f t="shared" si="3"/>
        <v>0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5">
        <v>22</v>
      </c>
      <c r="AH29" s="52">
        <f t="shared" si="2"/>
        <v>4</v>
      </c>
      <c r="AI29" s="53">
        <f t="shared" si="3"/>
        <v>4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9</v>
      </c>
      <c r="C30" s="50">
        <v>9</v>
      </c>
      <c r="D30" s="50">
        <v>9</v>
      </c>
      <c r="E30" s="50">
        <v>9</v>
      </c>
      <c r="F30" s="50">
        <v>9</v>
      </c>
      <c r="G30" s="50">
        <v>9</v>
      </c>
      <c r="H30" s="50">
        <v>9</v>
      </c>
      <c r="I30" s="50">
        <v>9</v>
      </c>
      <c r="J30" s="50">
        <v>9</v>
      </c>
      <c r="K30" s="50">
        <v>9</v>
      </c>
      <c r="L30" s="50">
        <v>9</v>
      </c>
      <c r="M30" s="50">
        <v>9</v>
      </c>
      <c r="N30" s="50">
        <v>9</v>
      </c>
      <c r="O30" s="50">
        <v>9</v>
      </c>
      <c r="P30" s="50">
        <v>9</v>
      </c>
      <c r="Q30" s="50">
        <v>9</v>
      </c>
      <c r="R30" s="50">
        <v>9</v>
      </c>
      <c r="S30" s="50">
        <v>9</v>
      </c>
      <c r="T30" s="50">
        <v>9</v>
      </c>
      <c r="U30" s="50">
        <v>9</v>
      </c>
      <c r="V30" s="50">
        <v>9</v>
      </c>
      <c r="W30" s="50">
        <v>9</v>
      </c>
      <c r="X30" s="50">
        <v>9</v>
      </c>
      <c r="Y30" s="50">
        <v>9</v>
      </c>
      <c r="Z30" s="50">
        <v>9</v>
      </c>
      <c r="AA30" s="50">
        <v>9</v>
      </c>
      <c r="AB30" s="50">
        <v>9</v>
      </c>
      <c r="AC30" s="50">
        <v>12</v>
      </c>
      <c r="AD30" s="50">
        <v>12</v>
      </c>
      <c r="AE30" s="50">
        <v>12</v>
      </c>
      <c r="AF30" s="50">
        <v>12</v>
      </c>
      <c r="AG30" s="55">
        <v>22</v>
      </c>
      <c r="AH30" s="52">
        <f t="shared" si="2"/>
        <v>12</v>
      </c>
      <c r="AI30" s="53">
        <f t="shared" si="3"/>
        <v>9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55">
        <v>20</v>
      </c>
      <c r="AH31" s="52">
        <f t="shared" si="2"/>
        <v>6</v>
      </c>
      <c r="AI31" s="53">
        <f t="shared" si="3"/>
        <v>6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>
        <v>4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5.2</v>
      </c>
      <c r="C38" s="50">
        <v>5.2</v>
      </c>
      <c r="D38" s="50">
        <v>5.2</v>
      </c>
      <c r="E38" s="50">
        <v>5.2</v>
      </c>
      <c r="F38" s="50">
        <v>5.2</v>
      </c>
      <c r="G38" s="50">
        <v>5.2</v>
      </c>
      <c r="H38" s="50">
        <v>5.2</v>
      </c>
      <c r="I38" s="50">
        <v>5.2</v>
      </c>
      <c r="J38" s="50">
        <v>5.2</v>
      </c>
      <c r="K38" s="50">
        <v>5.2</v>
      </c>
      <c r="L38" s="50">
        <v>5.2</v>
      </c>
      <c r="M38" s="50">
        <v>5.2</v>
      </c>
      <c r="N38" s="50">
        <v>5.2</v>
      </c>
      <c r="O38" s="50">
        <v>5.2</v>
      </c>
      <c r="P38" s="50">
        <v>5.2</v>
      </c>
      <c r="Q38" s="50">
        <v>5.2</v>
      </c>
      <c r="R38" s="50">
        <v>5.2</v>
      </c>
      <c r="S38" s="50">
        <v>5.2</v>
      </c>
      <c r="T38" s="50">
        <v>5.2</v>
      </c>
      <c r="U38" s="50">
        <v>5.2</v>
      </c>
      <c r="V38" s="50">
        <v>5.2</v>
      </c>
      <c r="W38" s="50">
        <v>5.2</v>
      </c>
      <c r="X38" s="50">
        <v>5.2</v>
      </c>
      <c r="Y38" s="50">
        <v>5.2</v>
      </c>
      <c r="Z38" s="50">
        <v>5.2</v>
      </c>
      <c r="AA38" s="50">
        <v>5.2</v>
      </c>
      <c r="AB38" s="50">
        <v>5.2</v>
      </c>
      <c r="AC38" s="50">
        <v>5.2</v>
      </c>
      <c r="AD38" s="50">
        <v>5.2</v>
      </c>
      <c r="AE38" s="50">
        <v>5.2</v>
      </c>
      <c r="AF38" s="50">
        <v>5.2</v>
      </c>
      <c r="AG38" s="55">
        <v>12</v>
      </c>
      <c r="AH38" s="52">
        <f t="shared" si="2"/>
        <v>5.2</v>
      </c>
      <c r="AI38" s="53">
        <f t="shared" si="3"/>
        <v>5.2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50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3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120</v>
      </c>
      <c r="C46" s="63">
        <v>120</v>
      </c>
      <c r="D46" s="63">
        <v>120</v>
      </c>
      <c r="E46" s="63">
        <v>120</v>
      </c>
      <c r="F46" s="63">
        <v>120</v>
      </c>
      <c r="G46" s="63">
        <v>120</v>
      </c>
      <c r="H46" s="63">
        <v>120</v>
      </c>
      <c r="I46" s="63">
        <v>120</v>
      </c>
      <c r="J46" s="63">
        <v>120</v>
      </c>
      <c r="K46" s="63">
        <v>120</v>
      </c>
      <c r="L46" s="63">
        <v>120</v>
      </c>
      <c r="M46" s="63">
        <v>120</v>
      </c>
      <c r="N46" s="63">
        <v>120</v>
      </c>
      <c r="O46" s="63">
        <v>120</v>
      </c>
      <c r="P46" s="63">
        <v>120</v>
      </c>
      <c r="Q46" s="63">
        <v>120</v>
      </c>
      <c r="R46" s="63">
        <v>120</v>
      </c>
      <c r="S46" s="63">
        <v>120</v>
      </c>
      <c r="T46" s="63">
        <v>120</v>
      </c>
      <c r="U46" s="63">
        <v>120</v>
      </c>
      <c r="V46" s="63">
        <v>120</v>
      </c>
      <c r="W46" s="63">
        <v>120</v>
      </c>
      <c r="X46" s="63">
        <v>120</v>
      </c>
      <c r="Y46" s="63">
        <v>120</v>
      </c>
      <c r="Z46" s="63">
        <v>120</v>
      </c>
      <c r="AA46" s="63">
        <v>120</v>
      </c>
      <c r="AB46" s="63">
        <v>120</v>
      </c>
      <c r="AC46" s="63">
        <v>120</v>
      </c>
      <c r="AD46" s="63">
        <v>120</v>
      </c>
      <c r="AE46" s="63">
        <v>120</v>
      </c>
      <c r="AF46" s="63">
        <v>120</v>
      </c>
      <c r="AG46" s="61">
        <v>85</v>
      </c>
      <c r="AH46" s="52">
        <f t="shared" si="2"/>
        <v>120</v>
      </c>
      <c r="AI46" s="53">
        <f t="shared" si="3"/>
        <v>120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>SUM(B11:B46)</f>
        <v>391.9</v>
      </c>
      <c r="C48" s="67">
        <f>SUM(C11:C46)</f>
        <v>393.9</v>
      </c>
      <c r="D48" s="67">
        <f t="shared" ref="D48:AF48" si="4">SUM(D11:D46)</f>
        <v>393.9</v>
      </c>
      <c r="E48" s="67">
        <f t="shared" si="4"/>
        <v>389.9</v>
      </c>
      <c r="F48" s="67">
        <f t="shared" si="4"/>
        <v>389.9</v>
      </c>
      <c r="G48" s="67">
        <f t="shared" si="4"/>
        <v>389.9</v>
      </c>
      <c r="H48" s="67">
        <f t="shared" si="4"/>
        <v>389.9</v>
      </c>
      <c r="I48" s="67">
        <f t="shared" si="4"/>
        <v>389.9</v>
      </c>
      <c r="J48" s="67">
        <f t="shared" si="4"/>
        <v>389.9</v>
      </c>
      <c r="K48" s="67">
        <f t="shared" si="4"/>
        <v>389.9</v>
      </c>
      <c r="L48" s="67">
        <f t="shared" si="4"/>
        <v>389.9</v>
      </c>
      <c r="M48" s="67">
        <f t="shared" si="4"/>
        <v>389.9</v>
      </c>
      <c r="N48" s="67">
        <f t="shared" si="4"/>
        <v>389.9</v>
      </c>
      <c r="O48" s="67">
        <f t="shared" si="4"/>
        <v>389.9</v>
      </c>
      <c r="P48" s="67">
        <f t="shared" si="4"/>
        <v>389.9</v>
      </c>
      <c r="Q48" s="67">
        <f t="shared" si="4"/>
        <v>389.9</v>
      </c>
      <c r="R48" s="67">
        <f t="shared" si="4"/>
        <v>389.9</v>
      </c>
      <c r="S48" s="67">
        <f t="shared" si="4"/>
        <v>389.9</v>
      </c>
      <c r="T48" s="67">
        <f t="shared" si="4"/>
        <v>389.9</v>
      </c>
      <c r="U48" s="67">
        <f t="shared" si="4"/>
        <v>389.9</v>
      </c>
      <c r="V48" s="67">
        <f t="shared" si="4"/>
        <v>389.9</v>
      </c>
      <c r="W48" s="67">
        <f t="shared" si="4"/>
        <v>389.9</v>
      </c>
      <c r="X48" s="67">
        <f t="shared" si="4"/>
        <v>389.9</v>
      </c>
      <c r="Y48" s="67">
        <f t="shared" si="4"/>
        <v>389.9</v>
      </c>
      <c r="Z48" s="67">
        <f t="shared" si="4"/>
        <v>371.9</v>
      </c>
      <c r="AA48" s="67">
        <f t="shared" si="4"/>
        <v>371.9</v>
      </c>
      <c r="AB48" s="67">
        <f t="shared" si="4"/>
        <v>368.9</v>
      </c>
      <c r="AC48" s="67">
        <f t="shared" si="4"/>
        <v>377.79999999999995</v>
      </c>
      <c r="AD48" s="67">
        <f t="shared" si="4"/>
        <v>378.5</v>
      </c>
      <c r="AE48" s="67">
        <f t="shared" si="4"/>
        <v>374.09999999999997</v>
      </c>
      <c r="AF48" s="67">
        <f t="shared" si="4"/>
        <v>385.79999999999995</v>
      </c>
      <c r="AG48" s="68">
        <f t="shared" ref="AG48" si="5">SUM(AG12:AG46)</f>
        <v>875.68</v>
      </c>
      <c r="AH48" s="52">
        <f t="shared" si="2"/>
        <v>393.9</v>
      </c>
      <c r="AI48" s="53">
        <f t="shared" si="3"/>
        <v>368.9</v>
      </c>
      <c r="AK48" s="54"/>
    </row>
    <row r="49" spans="1:41" x14ac:dyDescent="0.25">
      <c r="A49" s="69" t="s">
        <v>57</v>
      </c>
      <c r="B49" s="50">
        <v>85</v>
      </c>
      <c r="C49" s="50">
        <v>150</v>
      </c>
      <c r="D49" s="50">
        <v>160</v>
      </c>
      <c r="E49" s="50">
        <v>150</v>
      </c>
      <c r="F49" s="50">
        <v>130</v>
      </c>
      <c r="G49" s="50">
        <v>130</v>
      </c>
      <c r="H49" s="50">
        <v>130</v>
      </c>
      <c r="I49" s="50">
        <v>140</v>
      </c>
      <c r="J49" s="50">
        <v>140</v>
      </c>
      <c r="K49" s="50">
        <v>60</v>
      </c>
      <c r="L49" s="50">
        <v>40</v>
      </c>
      <c r="M49" s="70">
        <v>49</v>
      </c>
      <c r="N49" s="70">
        <v>70</v>
      </c>
      <c r="O49" s="50">
        <v>105</v>
      </c>
      <c r="P49" s="50">
        <v>145</v>
      </c>
      <c r="Q49" s="50">
        <v>75</v>
      </c>
      <c r="R49" s="50">
        <v>75</v>
      </c>
      <c r="S49" s="50">
        <v>120</v>
      </c>
      <c r="T49" s="50">
        <v>120</v>
      </c>
      <c r="U49" s="50">
        <v>120</v>
      </c>
      <c r="V49" s="50">
        <v>100</v>
      </c>
      <c r="W49" s="50">
        <v>110</v>
      </c>
      <c r="X49" s="50">
        <v>60</v>
      </c>
      <c r="Y49" s="50">
        <v>60</v>
      </c>
      <c r="Z49" s="50">
        <v>156</v>
      </c>
      <c r="AA49" s="50">
        <v>120</v>
      </c>
      <c r="AB49" s="50">
        <v>120</v>
      </c>
      <c r="AC49" s="50">
        <v>120</v>
      </c>
      <c r="AD49" s="50">
        <v>110</v>
      </c>
      <c r="AE49" s="50">
        <v>70</v>
      </c>
      <c r="AF49" s="50">
        <v>90</v>
      </c>
      <c r="AG49" s="56">
        <v>456</v>
      </c>
      <c r="AH49" s="52">
        <f t="shared" si="2"/>
        <v>160</v>
      </c>
      <c r="AI49" s="53">
        <f t="shared" si="3"/>
        <v>40</v>
      </c>
      <c r="AK49" s="54"/>
    </row>
    <row r="50" spans="1:41" x14ac:dyDescent="0.25">
      <c r="A50" s="71" t="s">
        <v>58</v>
      </c>
      <c r="B50" s="72">
        <v>30</v>
      </c>
      <c r="C50" s="72">
        <v>30</v>
      </c>
      <c r="D50" s="72">
        <v>30</v>
      </c>
      <c r="E50" s="72">
        <v>30</v>
      </c>
      <c r="F50" s="72">
        <v>30</v>
      </c>
      <c r="G50" s="72">
        <v>30</v>
      </c>
      <c r="H50" s="72">
        <v>30</v>
      </c>
      <c r="I50" s="72">
        <v>30</v>
      </c>
      <c r="J50" s="72">
        <v>30</v>
      </c>
      <c r="K50" s="72">
        <v>30</v>
      </c>
      <c r="L50" s="72">
        <v>30</v>
      </c>
      <c r="M50" s="72">
        <v>30</v>
      </c>
      <c r="N50" s="72">
        <v>30</v>
      </c>
      <c r="O50" s="72">
        <v>30</v>
      </c>
      <c r="P50" s="72">
        <v>30</v>
      </c>
      <c r="Q50" s="72">
        <v>30</v>
      </c>
      <c r="R50" s="72">
        <v>30</v>
      </c>
      <c r="S50" s="72">
        <v>30</v>
      </c>
      <c r="T50" s="72">
        <v>30</v>
      </c>
      <c r="U50" s="72">
        <v>30</v>
      </c>
      <c r="V50" s="72">
        <v>30</v>
      </c>
      <c r="W50" s="72">
        <v>30</v>
      </c>
      <c r="X50" s="72">
        <v>30</v>
      </c>
      <c r="Y50" s="72">
        <v>30</v>
      </c>
      <c r="Z50" s="72">
        <v>30</v>
      </c>
      <c r="AA50" s="72">
        <v>30</v>
      </c>
      <c r="AB50" s="72">
        <v>30</v>
      </c>
      <c r="AC50" s="72">
        <v>30</v>
      </c>
      <c r="AD50" s="72">
        <v>30</v>
      </c>
      <c r="AE50" s="72">
        <v>30</v>
      </c>
      <c r="AF50" s="72">
        <v>30</v>
      </c>
      <c r="AG50" s="61">
        <v>60</v>
      </c>
      <c r="AH50" s="52">
        <f t="shared" si="2"/>
        <v>30</v>
      </c>
      <c r="AI50" s="53">
        <f t="shared" si="3"/>
        <v>30</v>
      </c>
      <c r="AK50" s="54"/>
    </row>
    <row r="51" spans="1:41" ht="15.75" thickBot="1" x14ac:dyDescent="0.3">
      <c r="A51" s="73" t="s">
        <v>59</v>
      </c>
      <c r="B51" s="74">
        <v>11.7</v>
      </c>
      <c r="C51" s="74">
        <v>11.7</v>
      </c>
      <c r="D51" s="74">
        <v>11.7</v>
      </c>
      <c r="E51" s="74">
        <v>11.7</v>
      </c>
      <c r="F51" s="74">
        <v>11.7</v>
      </c>
      <c r="G51" s="74">
        <v>11.7</v>
      </c>
      <c r="H51" s="74">
        <v>11.7</v>
      </c>
      <c r="I51" s="74">
        <v>11.7</v>
      </c>
      <c r="J51" s="74">
        <v>11.7</v>
      </c>
      <c r="K51" s="74">
        <v>11.7</v>
      </c>
      <c r="L51" s="74">
        <v>11.7</v>
      </c>
      <c r="M51" s="74">
        <v>12.2</v>
      </c>
      <c r="N51" s="74">
        <v>12.2</v>
      </c>
      <c r="O51" s="74">
        <v>12.2</v>
      </c>
      <c r="P51" s="74">
        <v>12.2</v>
      </c>
      <c r="Q51" s="74">
        <v>12.2</v>
      </c>
      <c r="R51" s="74">
        <v>12.2</v>
      </c>
      <c r="S51" s="74">
        <v>12.2</v>
      </c>
      <c r="T51" s="74">
        <v>12.2</v>
      </c>
      <c r="U51" s="74">
        <v>12.2</v>
      </c>
      <c r="V51" s="74">
        <v>12.2</v>
      </c>
      <c r="W51" s="74">
        <v>12.2</v>
      </c>
      <c r="X51" s="74">
        <v>12.2</v>
      </c>
      <c r="Y51" s="74">
        <v>12.2</v>
      </c>
      <c r="Z51" s="74">
        <v>12.2</v>
      </c>
      <c r="AA51" s="74">
        <v>12.2</v>
      </c>
      <c r="AB51" s="74">
        <v>10.6</v>
      </c>
      <c r="AC51" s="74">
        <v>10.6</v>
      </c>
      <c r="AD51" s="74">
        <v>9.3000000000000007</v>
      </c>
      <c r="AE51" s="74">
        <v>9.6999999999999993</v>
      </c>
      <c r="AF51" s="74">
        <v>9.6999999999999993</v>
      </c>
      <c r="AG51" s="75">
        <v>22.1</v>
      </c>
      <c r="AH51" s="52">
        <f t="shared" si="2"/>
        <v>12.2</v>
      </c>
      <c r="AI51" s="53">
        <f t="shared" si="3"/>
        <v>9.3000000000000007</v>
      </c>
      <c r="AK51" s="54"/>
    </row>
    <row r="52" spans="1:41" ht="15.75" thickBot="1" x14ac:dyDescent="0.3">
      <c r="A52" s="76" t="s">
        <v>60</v>
      </c>
      <c r="B52" s="67">
        <f t="shared" ref="B52:AG52" si="6">SUM(B49:B51)</f>
        <v>126.7</v>
      </c>
      <c r="C52" s="67">
        <f t="shared" si="6"/>
        <v>191.7</v>
      </c>
      <c r="D52" s="67">
        <f t="shared" si="6"/>
        <v>201.7</v>
      </c>
      <c r="E52" s="67">
        <f t="shared" si="6"/>
        <v>191.7</v>
      </c>
      <c r="F52" s="67">
        <f t="shared" ref="F52:L52" si="7">SUM(F49:F51)</f>
        <v>171.7</v>
      </c>
      <c r="G52" s="67">
        <f t="shared" si="7"/>
        <v>171.7</v>
      </c>
      <c r="H52" s="67">
        <f t="shared" si="7"/>
        <v>171.7</v>
      </c>
      <c r="I52" s="67">
        <f t="shared" si="7"/>
        <v>181.7</v>
      </c>
      <c r="J52" s="67">
        <f t="shared" si="7"/>
        <v>181.7</v>
      </c>
      <c r="K52" s="67">
        <f t="shared" si="7"/>
        <v>101.7</v>
      </c>
      <c r="L52" s="67">
        <f t="shared" si="7"/>
        <v>81.7</v>
      </c>
      <c r="M52" s="67">
        <f t="shared" si="6"/>
        <v>91.2</v>
      </c>
      <c r="N52" s="67">
        <f t="shared" si="6"/>
        <v>112.2</v>
      </c>
      <c r="O52" s="67">
        <f t="shared" si="6"/>
        <v>147.19999999999999</v>
      </c>
      <c r="P52" s="67">
        <f t="shared" si="6"/>
        <v>187.2</v>
      </c>
      <c r="Q52" s="67">
        <f t="shared" si="6"/>
        <v>117.2</v>
      </c>
      <c r="R52" s="67">
        <f t="shared" si="6"/>
        <v>117.2</v>
      </c>
      <c r="S52" s="67">
        <f t="shared" si="6"/>
        <v>162.19999999999999</v>
      </c>
      <c r="T52" s="67">
        <f t="shared" si="6"/>
        <v>162.19999999999999</v>
      </c>
      <c r="U52" s="67">
        <f t="shared" si="6"/>
        <v>162.19999999999999</v>
      </c>
      <c r="V52" s="67">
        <f t="shared" si="6"/>
        <v>142.19999999999999</v>
      </c>
      <c r="W52" s="67">
        <f t="shared" si="6"/>
        <v>152.19999999999999</v>
      </c>
      <c r="X52" s="67">
        <f t="shared" si="6"/>
        <v>102.2</v>
      </c>
      <c r="Y52" s="67">
        <f t="shared" si="6"/>
        <v>102.2</v>
      </c>
      <c r="Z52" s="67">
        <f t="shared" si="6"/>
        <v>198.2</v>
      </c>
      <c r="AA52" s="67">
        <f t="shared" si="6"/>
        <v>162.19999999999999</v>
      </c>
      <c r="AB52" s="67">
        <f t="shared" si="6"/>
        <v>160.6</v>
      </c>
      <c r="AC52" s="67">
        <f t="shared" si="6"/>
        <v>160.6</v>
      </c>
      <c r="AD52" s="67">
        <f t="shared" si="6"/>
        <v>149.30000000000001</v>
      </c>
      <c r="AE52" s="67">
        <f t="shared" si="6"/>
        <v>109.7</v>
      </c>
      <c r="AF52" s="67">
        <f t="shared" si="6"/>
        <v>129.69999999999999</v>
      </c>
      <c r="AG52" s="68">
        <f t="shared" si="6"/>
        <v>538.1</v>
      </c>
      <c r="AH52" s="52">
        <f t="shared" si="2"/>
        <v>201.7</v>
      </c>
      <c r="AI52" s="53">
        <f t="shared" si="3"/>
        <v>81.7</v>
      </c>
      <c r="AK52" s="54"/>
    </row>
    <row r="53" spans="1:41" x14ac:dyDescent="0.25">
      <c r="A53" s="49" t="s">
        <v>61</v>
      </c>
      <c r="B53" s="50">
        <v>48</v>
      </c>
      <c r="C53" s="50">
        <v>48</v>
      </c>
      <c r="D53" s="50">
        <v>40</v>
      </c>
      <c r="E53" s="50">
        <v>40</v>
      </c>
      <c r="F53" s="50">
        <v>40</v>
      </c>
      <c r="G53" s="50">
        <v>48</v>
      </c>
      <c r="H53" s="50">
        <v>48</v>
      </c>
      <c r="I53" s="50">
        <v>80</v>
      </c>
      <c r="J53" s="50">
        <v>91</v>
      </c>
      <c r="K53" s="50">
        <v>91</v>
      </c>
      <c r="L53" s="50">
        <v>91</v>
      </c>
      <c r="M53" s="50">
        <v>68</v>
      </c>
      <c r="N53" s="50">
        <v>40.6</v>
      </c>
      <c r="O53" s="50">
        <v>40.6</v>
      </c>
      <c r="P53" s="50">
        <v>62</v>
      </c>
      <c r="Q53" s="50">
        <v>97.6</v>
      </c>
      <c r="R53" s="50">
        <v>97.6</v>
      </c>
      <c r="S53" s="50">
        <v>97.6</v>
      </c>
      <c r="T53" s="50">
        <v>97.6</v>
      </c>
      <c r="U53" s="50">
        <v>107.9</v>
      </c>
      <c r="V53" s="50">
        <v>80</v>
      </c>
      <c r="W53" s="50">
        <v>57</v>
      </c>
      <c r="X53" s="50">
        <v>57</v>
      </c>
      <c r="Y53" s="50">
        <v>57</v>
      </c>
      <c r="Z53" s="50">
        <v>97.5</v>
      </c>
      <c r="AA53" s="50">
        <v>86.6</v>
      </c>
      <c r="AB53" s="50">
        <v>97</v>
      </c>
      <c r="AC53" s="50">
        <v>61.9</v>
      </c>
      <c r="AD53" s="50">
        <v>34.1</v>
      </c>
      <c r="AE53" s="50">
        <v>30.5</v>
      </c>
      <c r="AF53" s="50">
        <v>40.6</v>
      </c>
      <c r="AG53" s="56">
        <v>144</v>
      </c>
      <c r="AH53" s="52">
        <f t="shared" si="2"/>
        <v>107.9</v>
      </c>
      <c r="AI53" s="53">
        <f t="shared" si="3"/>
        <v>30.5</v>
      </c>
      <c r="AK53" s="54"/>
    </row>
    <row r="54" spans="1:41" x14ac:dyDescent="0.25">
      <c r="A54" s="60" t="s">
        <v>62</v>
      </c>
      <c r="B54" s="72">
        <v>22</v>
      </c>
      <c r="C54" s="72">
        <v>22</v>
      </c>
      <c r="D54" s="72">
        <v>0</v>
      </c>
      <c r="E54" s="72">
        <v>0</v>
      </c>
      <c r="F54" s="72">
        <v>0</v>
      </c>
      <c r="G54" s="72">
        <v>0</v>
      </c>
      <c r="H54" s="72">
        <v>35</v>
      </c>
      <c r="I54" s="72">
        <v>35</v>
      </c>
      <c r="J54" s="72">
        <v>50</v>
      </c>
      <c r="K54" s="72">
        <v>70</v>
      </c>
      <c r="L54" s="72">
        <v>50</v>
      </c>
      <c r="M54" s="72">
        <v>47</v>
      </c>
      <c r="N54" s="72">
        <v>24.6</v>
      </c>
      <c r="O54" s="72">
        <v>34.799999999999997</v>
      </c>
      <c r="P54" s="72">
        <v>46</v>
      </c>
      <c r="Q54" s="72">
        <v>61.2</v>
      </c>
      <c r="R54" s="72">
        <v>61.2</v>
      </c>
      <c r="S54" s="72">
        <v>61.2</v>
      </c>
      <c r="T54" s="72">
        <v>61.2</v>
      </c>
      <c r="U54" s="72">
        <v>49.2</v>
      </c>
      <c r="V54" s="72">
        <v>20.7</v>
      </c>
      <c r="W54" s="72">
        <v>0</v>
      </c>
      <c r="X54" s="72">
        <v>0</v>
      </c>
      <c r="Y54" s="72">
        <v>0</v>
      </c>
      <c r="Z54" s="50">
        <v>23.2</v>
      </c>
      <c r="AA54" s="50">
        <v>31</v>
      </c>
      <c r="AB54" s="72">
        <v>35.4</v>
      </c>
      <c r="AC54" s="72">
        <v>35.4</v>
      </c>
      <c r="AD54" s="72">
        <v>35.799999999999997</v>
      </c>
      <c r="AE54" s="72">
        <v>26.6</v>
      </c>
      <c r="AF54" s="72">
        <v>23.3</v>
      </c>
      <c r="AG54" s="61">
        <v>70</v>
      </c>
      <c r="AH54" s="52">
        <f t="shared" si="2"/>
        <v>70</v>
      </c>
      <c r="AI54" s="53">
        <f t="shared" si="3"/>
        <v>0</v>
      </c>
      <c r="AK54" s="54"/>
    </row>
    <row r="55" spans="1:41" x14ac:dyDescent="0.25">
      <c r="A55" s="60" t="s">
        <v>63</v>
      </c>
      <c r="B55" s="72">
        <v>18</v>
      </c>
      <c r="C55" s="72">
        <v>18</v>
      </c>
      <c r="D55" s="72">
        <v>17</v>
      </c>
      <c r="E55" s="72">
        <v>17</v>
      </c>
      <c r="F55" s="72">
        <v>17</v>
      </c>
      <c r="G55" s="72">
        <v>23</v>
      </c>
      <c r="H55" s="72">
        <v>23</v>
      </c>
      <c r="I55" s="72">
        <v>46</v>
      </c>
      <c r="J55" s="72">
        <v>60</v>
      </c>
      <c r="K55" s="72">
        <v>50</v>
      </c>
      <c r="L55" s="72">
        <v>63</v>
      </c>
      <c r="M55" s="72">
        <v>63.5</v>
      </c>
      <c r="N55" s="72">
        <v>18.899999999999999</v>
      </c>
      <c r="O55" s="72">
        <v>23</v>
      </c>
      <c r="P55" s="72">
        <v>32</v>
      </c>
      <c r="Q55" s="72">
        <v>44</v>
      </c>
      <c r="R55" s="72">
        <v>44</v>
      </c>
      <c r="S55" s="72">
        <v>44</v>
      </c>
      <c r="T55" s="72">
        <v>44</v>
      </c>
      <c r="U55" s="72">
        <v>45.8</v>
      </c>
      <c r="V55" s="72">
        <v>40</v>
      </c>
      <c r="W55" s="72">
        <v>34.1</v>
      </c>
      <c r="X55" s="72">
        <v>34.1</v>
      </c>
      <c r="Y55" s="72">
        <v>34</v>
      </c>
      <c r="Z55" s="50">
        <v>69</v>
      </c>
      <c r="AA55" s="50">
        <v>62.5</v>
      </c>
      <c r="AB55" s="72">
        <v>56.8</v>
      </c>
      <c r="AC55" s="72">
        <v>56.8</v>
      </c>
      <c r="AD55" s="72">
        <v>55.5</v>
      </c>
      <c r="AE55" s="72">
        <v>33.1</v>
      </c>
      <c r="AF55" s="72">
        <v>32.799999999999997</v>
      </c>
      <c r="AG55" s="61">
        <v>69</v>
      </c>
      <c r="AH55" s="52">
        <f t="shared" si="2"/>
        <v>69</v>
      </c>
      <c r="AI55" s="53">
        <f t="shared" si="3"/>
        <v>17</v>
      </c>
      <c r="AK55" s="54"/>
    </row>
    <row r="56" spans="1:41" x14ac:dyDescent="0.25">
      <c r="A56" s="60" t="s">
        <v>64</v>
      </c>
      <c r="B56" s="72">
        <v>39</v>
      </c>
      <c r="C56" s="72">
        <v>39</v>
      </c>
      <c r="D56" s="72">
        <v>39</v>
      </c>
      <c r="E56" s="72">
        <v>39</v>
      </c>
      <c r="F56" s="72">
        <v>39</v>
      </c>
      <c r="G56" s="72">
        <v>39</v>
      </c>
      <c r="H56" s="72">
        <v>39</v>
      </c>
      <c r="I56" s="72">
        <v>39</v>
      </c>
      <c r="J56" s="72">
        <v>39</v>
      </c>
      <c r="K56" s="72">
        <v>39</v>
      </c>
      <c r="L56" s="72">
        <v>39</v>
      </c>
      <c r="M56" s="72">
        <v>35</v>
      </c>
      <c r="N56" s="72">
        <v>35</v>
      </c>
      <c r="O56" s="72">
        <v>38</v>
      </c>
      <c r="P56" s="72">
        <v>38</v>
      </c>
      <c r="Q56" s="72">
        <v>38</v>
      </c>
      <c r="R56" s="72">
        <v>38</v>
      </c>
      <c r="S56" s="72">
        <v>38</v>
      </c>
      <c r="T56" s="72">
        <v>38</v>
      </c>
      <c r="U56" s="72">
        <v>38</v>
      </c>
      <c r="V56" s="72">
        <v>36</v>
      </c>
      <c r="W56" s="72">
        <v>34</v>
      </c>
      <c r="X56" s="72">
        <v>34</v>
      </c>
      <c r="Y56" s="72">
        <v>36.299999999999997</v>
      </c>
      <c r="Z56" s="50">
        <v>36.299999999999997</v>
      </c>
      <c r="AA56" s="50">
        <v>36.299999999999997</v>
      </c>
      <c r="AB56" s="72">
        <v>36.299999999999997</v>
      </c>
      <c r="AC56" s="72">
        <v>36.299999999999997</v>
      </c>
      <c r="AD56" s="72">
        <v>36.299999999999997</v>
      </c>
      <c r="AE56" s="72">
        <v>37.299999999999997</v>
      </c>
      <c r="AF56" s="72">
        <v>37.299999999999997</v>
      </c>
      <c r="AG56" s="61">
        <v>60</v>
      </c>
      <c r="AH56" s="52">
        <f t="shared" si="2"/>
        <v>39</v>
      </c>
      <c r="AI56" s="53">
        <f t="shared" si="3"/>
        <v>34</v>
      </c>
      <c r="AK56" s="54"/>
    </row>
    <row r="57" spans="1:41" x14ac:dyDescent="0.25">
      <c r="A57" s="60" t="s">
        <v>65</v>
      </c>
      <c r="B57" s="72">
        <v>0</v>
      </c>
      <c r="C57" s="72">
        <v>0</v>
      </c>
      <c r="D57" s="72">
        <v>0</v>
      </c>
      <c r="E57" s="72">
        <v>0</v>
      </c>
      <c r="F57" s="72">
        <v>0</v>
      </c>
      <c r="G57" s="72">
        <v>10</v>
      </c>
      <c r="H57" s="72">
        <v>10</v>
      </c>
      <c r="I57" s="72">
        <v>10</v>
      </c>
      <c r="J57" s="72">
        <v>10</v>
      </c>
      <c r="K57" s="72">
        <v>10</v>
      </c>
      <c r="L57" s="72">
        <v>10</v>
      </c>
      <c r="M57" s="72">
        <v>12.6</v>
      </c>
      <c r="N57" s="72">
        <v>10</v>
      </c>
      <c r="O57" s="72">
        <v>10.9</v>
      </c>
      <c r="P57" s="72">
        <v>12</v>
      </c>
      <c r="Q57" s="72">
        <v>12</v>
      </c>
      <c r="R57" s="72">
        <v>12</v>
      </c>
      <c r="S57" s="72">
        <v>15</v>
      </c>
      <c r="T57" s="72">
        <v>15</v>
      </c>
      <c r="U57" s="72">
        <v>15</v>
      </c>
      <c r="V57" s="72">
        <v>13</v>
      </c>
      <c r="W57" s="72">
        <v>13</v>
      </c>
      <c r="X57" s="72">
        <v>13</v>
      </c>
      <c r="Y57" s="72">
        <v>13</v>
      </c>
      <c r="Z57" s="50">
        <v>20</v>
      </c>
      <c r="AA57" s="50">
        <v>27.2</v>
      </c>
      <c r="AB57" s="72">
        <v>0</v>
      </c>
      <c r="AC57" s="72">
        <v>0</v>
      </c>
      <c r="AD57" s="72">
        <v>0</v>
      </c>
      <c r="AE57" s="72">
        <v>0</v>
      </c>
      <c r="AF57" s="72">
        <v>0</v>
      </c>
      <c r="AG57" s="61">
        <v>30</v>
      </c>
      <c r="AH57" s="52">
        <f t="shared" si="2"/>
        <v>27.2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72">
        <v>0</v>
      </c>
      <c r="N58" s="72">
        <v>5</v>
      </c>
      <c r="O58" s="72">
        <v>10</v>
      </c>
      <c r="P58" s="72">
        <v>10</v>
      </c>
      <c r="Q58" s="72">
        <v>10</v>
      </c>
      <c r="R58" s="72">
        <v>10</v>
      </c>
      <c r="S58" s="72">
        <v>11.9</v>
      </c>
      <c r="T58" s="72">
        <v>15</v>
      </c>
      <c r="U58" s="72">
        <v>8</v>
      </c>
      <c r="V58" s="72">
        <v>1.4</v>
      </c>
      <c r="W58" s="72">
        <v>0.6</v>
      </c>
      <c r="X58" s="72">
        <v>0</v>
      </c>
      <c r="Y58" s="72">
        <v>0</v>
      </c>
      <c r="Z58" s="50">
        <v>0</v>
      </c>
      <c r="AA58" s="50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1">
        <v>25</v>
      </c>
      <c r="AH58" s="52">
        <f t="shared" si="2"/>
        <v>15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12</v>
      </c>
      <c r="C59" s="72">
        <v>12</v>
      </c>
      <c r="D59" s="72">
        <v>12</v>
      </c>
      <c r="E59" s="72">
        <v>12</v>
      </c>
      <c r="F59" s="72">
        <v>12</v>
      </c>
      <c r="G59" s="72">
        <v>12</v>
      </c>
      <c r="H59" s="72">
        <v>12</v>
      </c>
      <c r="I59" s="72">
        <v>12</v>
      </c>
      <c r="J59" s="72">
        <v>12</v>
      </c>
      <c r="K59" s="72">
        <v>12</v>
      </c>
      <c r="L59" s="72">
        <v>12</v>
      </c>
      <c r="M59" s="72">
        <v>12</v>
      </c>
      <c r="N59" s="72">
        <v>12</v>
      </c>
      <c r="O59" s="72">
        <v>12</v>
      </c>
      <c r="P59" s="72">
        <v>12</v>
      </c>
      <c r="Q59" s="72">
        <v>12</v>
      </c>
      <c r="R59" s="72">
        <v>12</v>
      </c>
      <c r="S59" s="72">
        <v>12</v>
      </c>
      <c r="T59" s="72">
        <v>12</v>
      </c>
      <c r="U59" s="72">
        <v>12</v>
      </c>
      <c r="V59" s="72">
        <v>12</v>
      </c>
      <c r="W59" s="72">
        <v>12</v>
      </c>
      <c r="X59" s="72">
        <v>12</v>
      </c>
      <c r="Y59" s="72">
        <v>12</v>
      </c>
      <c r="Z59" s="72">
        <v>12</v>
      </c>
      <c r="AA59" s="72">
        <v>12</v>
      </c>
      <c r="AB59" s="72">
        <v>12</v>
      </c>
      <c r="AC59" s="72">
        <v>12</v>
      </c>
      <c r="AD59" s="72">
        <v>12</v>
      </c>
      <c r="AE59" s="72">
        <v>12</v>
      </c>
      <c r="AF59" s="72">
        <v>12</v>
      </c>
      <c r="AG59" s="61">
        <v>24</v>
      </c>
      <c r="AH59" s="52">
        <f t="shared" si="2"/>
        <v>12</v>
      </c>
      <c r="AI59" s="53">
        <f t="shared" si="3"/>
        <v>12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9.6999999999999993</v>
      </c>
      <c r="C61" s="72">
        <v>9.6999999999999993</v>
      </c>
      <c r="D61" s="72">
        <v>9.6999999999999993</v>
      </c>
      <c r="E61" s="72">
        <v>9.6999999999999993</v>
      </c>
      <c r="F61" s="72">
        <v>9.6999999999999993</v>
      </c>
      <c r="G61" s="72">
        <v>9.6999999999999993</v>
      </c>
      <c r="H61" s="72">
        <v>9.6999999999999993</v>
      </c>
      <c r="I61" s="72">
        <v>9.6999999999999993</v>
      </c>
      <c r="J61" s="72">
        <v>9.6999999999999993</v>
      </c>
      <c r="K61" s="72">
        <v>9.6999999999999993</v>
      </c>
      <c r="L61" s="72">
        <v>9.6999999999999993</v>
      </c>
      <c r="M61" s="72">
        <v>9.6999999999999993</v>
      </c>
      <c r="N61" s="72">
        <v>9.6999999999999993</v>
      </c>
      <c r="O61" s="72">
        <v>9.6999999999999993</v>
      </c>
      <c r="P61" s="72">
        <v>9.6999999999999993</v>
      </c>
      <c r="Q61" s="72">
        <v>9.6999999999999993</v>
      </c>
      <c r="R61" s="72">
        <v>9.6999999999999993</v>
      </c>
      <c r="S61" s="72">
        <v>9.6999999999999993</v>
      </c>
      <c r="T61" s="72">
        <v>9.6999999999999993</v>
      </c>
      <c r="U61" s="72">
        <v>9.6999999999999993</v>
      </c>
      <c r="V61" s="72">
        <v>9.6999999999999993</v>
      </c>
      <c r="W61" s="72">
        <v>9.6999999999999993</v>
      </c>
      <c r="X61" s="72">
        <v>9.6999999999999993</v>
      </c>
      <c r="Y61" s="72">
        <v>9.6999999999999993</v>
      </c>
      <c r="Z61" s="72">
        <v>9.6999999999999993</v>
      </c>
      <c r="AA61" s="72">
        <v>9.6999999999999993</v>
      </c>
      <c r="AB61" s="72">
        <v>10.3</v>
      </c>
      <c r="AC61" s="72">
        <v>10.3</v>
      </c>
      <c r="AD61" s="72">
        <v>10.4</v>
      </c>
      <c r="AE61" s="72">
        <v>10.5</v>
      </c>
      <c r="AF61" s="72">
        <v>10.5</v>
      </c>
      <c r="AG61" s="61">
        <v>14.1</v>
      </c>
      <c r="AH61" s="52">
        <f t="shared" si="2"/>
        <v>10.5</v>
      </c>
      <c r="AI61" s="53">
        <f t="shared" si="3"/>
        <v>9.6999999999999993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6.8</v>
      </c>
      <c r="C62" s="72">
        <v>6.8</v>
      </c>
      <c r="D62" s="72">
        <v>6.8</v>
      </c>
      <c r="E62" s="72">
        <v>6.8</v>
      </c>
      <c r="F62" s="72">
        <v>6.8</v>
      </c>
      <c r="G62" s="72">
        <v>6.8</v>
      </c>
      <c r="H62" s="72">
        <v>6.8</v>
      </c>
      <c r="I62" s="72">
        <v>6.8</v>
      </c>
      <c r="J62" s="72">
        <v>6.8</v>
      </c>
      <c r="K62" s="72">
        <v>6.8</v>
      </c>
      <c r="L62" s="72">
        <v>6.8</v>
      </c>
      <c r="M62" s="72">
        <v>6.8</v>
      </c>
      <c r="N62" s="72">
        <v>6.8</v>
      </c>
      <c r="O62" s="72">
        <v>6.8</v>
      </c>
      <c r="P62" s="72">
        <v>6.8</v>
      </c>
      <c r="Q62" s="72">
        <v>6.8</v>
      </c>
      <c r="R62" s="72">
        <v>6.8</v>
      </c>
      <c r="S62" s="72">
        <v>6.8</v>
      </c>
      <c r="T62" s="72">
        <v>6.8</v>
      </c>
      <c r="U62" s="72">
        <v>6.8</v>
      </c>
      <c r="V62" s="72">
        <v>4.9000000000000004</v>
      </c>
      <c r="W62" s="72">
        <v>4.9000000000000004</v>
      </c>
      <c r="X62" s="72">
        <v>4.9000000000000004</v>
      </c>
      <c r="Y62" s="72">
        <v>4.9000000000000004</v>
      </c>
      <c r="Z62" s="72">
        <v>5.0999999999999996</v>
      </c>
      <c r="AA62" s="72">
        <v>5.0999999999999996</v>
      </c>
      <c r="AB62" s="72">
        <v>4.8</v>
      </c>
      <c r="AC62" s="72">
        <v>4.8</v>
      </c>
      <c r="AD62" s="72">
        <v>4.9000000000000004</v>
      </c>
      <c r="AE62" s="72">
        <v>5</v>
      </c>
      <c r="AF62" s="72">
        <v>5.3</v>
      </c>
      <c r="AG62" s="61">
        <v>14</v>
      </c>
      <c r="AH62" s="52">
        <f t="shared" si="2"/>
        <v>6.8</v>
      </c>
      <c r="AI62" s="53">
        <f t="shared" si="3"/>
        <v>4.8</v>
      </c>
      <c r="AK62" s="54"/>
    </row>
    <row r="63" spans="1:41" x14ac:dyDescent="0.25">
      <c r="A63" s="60" t="s">
        <v>71</v>
      </c>
      <c r="B63" s="72">
        <v>3</v>
      </c>
      <c r="C63" s="72">
        <v>3</v>
      </c>
      <c r="D63" s="72">
        <v>3</v>
      </c>
      <c r="E63" s="72">
        <v>3</v>
      </c>
      <c r="F63" s="72">
        <v>3</v>
      </c>
      <c r="G63" s="72">
        <v>3</v>
      </c>
      <c r="H63" s="72">
        <v>3</v>
      </c>
      <c r="I63" s="72">
        <v>3</v>
      </c>
      <c r="J63" s="72">
        <v>3</v>
      </c>
      <c r="K63" s="72">
        <v>3</v>
      </c>
      <c r="L63" s="72">
        <v>3</v>
      </c>
      <c r="M63" s="72">
        <v>3</v>
      </c>
      <c r="N63" s="72">
        <v>3</v>
      </c>
      <c r="O63" s="72">
        <v>3</v>
      </c>
      <c r="P63" s="72">
        <v>3</v>
      </c>
      <c r="Q63" s="72">
        <v>3</v>
      </c>
      <c r="R63" s="72">
        <v>3</v>
      </c>
      <c r="S63" s="72">
        <v>3</v>
      </c>
      <c r="T63" s="72">
        <v>3</v>
      </c>
      <c r="U63" s="72">
        <v>3</v>
      </c>
      <c r="V63" s="72">
        <v>3</v>
      </c>
      <c r="W63" s="72">
        <v>3</v>
      </c>
      <c r="X63" s="72">
        <v>3</v>
      </c>
      <c r="Y63" s="72">
        <v>3</v>
      </c>
      <c r="Z63" s="72">
        <v>3</v>
      </c>
      <c r="AA63" s="72">
        <v>3</v>
      </c>
      <c r="AB63" s="72">
        <v>3</v>
      </c>
      <c r="AC63" s="72">
        <v>3</v>
      </c>
      <c r="AD63" s="72">
        <v>3</v>
      </c>
      <c r="AE63" s="72">
        <v>3</v>
      </c>
      <c r="AF63" s="72">
        <v>3</v>
      </c>
      <c r="AG63" s="61">
        <v>10.050000000000001</v>
      </c>
      <c r="AH63" s="52">
        <f t="shared" si="2"/>
        <v>3</v>
      </c>
      <c r="AI63" s="53">
        <f t="shared" si="3"/>
        <v>3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:AG66" si="8">SUM(B53:B65)</f>
        <v>164.04</v>
      </c>
      <c r="C66" s="67">
        <f t="shared" si="8"/>
        <v>164.04</v>
      </c>
      <c r="D66" s="67">
        <f t="shared" si="8"/>
        <v>133.04</v>
      </c>
      <c r="E66" s="67">
        <f t="shared" si="8"/>
        <v>133.04</v>
      </c>
      <c r="F66" s="67">
        <f t="shared" ref="F66:L66" si="9">SUM(F53:F65)</f>
        <v>133.04</v>
      </c>
      <c r="G66" s="67">
        <f t="shared" si="9"/>
        <v>157.04</v>
      </c>
      <c r="H66" s="67">
        <f t="shared" si="9"/>
        <v>192.04</v>
      </c>
      <c r="I66" s="67">
        <f t="shared" si="9"/>
        <v>247.04</v>
      </c>
      <c r="J66" s="67">
        <f t="shared" si="9"/>
        <v>287.04000000000002</v>
      </c>
      <c r="K66" s="67">
        <f t="shared" si="9"/>
        <v>297.04000000000002</v>
      </c>
      <c r="L66" s="67">
        <f t="shared" si="9"/>
        <v>290.04000000000002</v>
      </c>
      <c r="M66" s="67">
        <f t="shared" si="8"/>
        <v>263.14000000000004</v>
      </c>
      <c r="N66" s="67">
        <f t="shared" si="8"/>
        <v>171.14</v>
      </c>
      <c r="O66" s="67">
        <f t="shared" si="8"/>
        <v>194.34</v>
      </c>
      <c r="P66" s="67">
        <f t="shared" si="8"/>
        <v>237.04</v>
      </c>
      <c r="Q66" s="67">
        <f t="shared" si="8"/>
        <v>299.84000000000003</v>
      </c>
      <c r="R66" s="67">
        <f t="shared" si="8"/>
        <v>299.84000000000003</v>
      </c>
      <c r="S66" s="67">
        <f t="shared" si="8"/>
        <v>304.74</v>
      </c>
      <c r="T66" s="67">
        <f t="shared" si="8"/>
        <v>307.84000000000003</v>
      </c>
      <c r="U66" s="67">
        <f t="shared" si="8"/>
        <v>300.94000000000005</v>
      </c>
      <c r="V66" s="67">
        <f t="shared" si="8"/>
        <v>226.23999999999998</v>
      </c>
      <c r="W66" s="67">
        <f t="shared" si="8"/>
        <v>173.83999999999997</v>
      </c>
      <c r="X66" s="67">
        <f t="shared" si="8"/>
        <v>173.23999999999998</v>
      </c>
      <c r="Y66" s="67">
        <f t="shared" si="8"/>
        <v>175.44</v>
      </c>
      <c r="Z66" s="67">
        <f t="shared" si="8"/>
        <v>281.34000000000003</v>
      </c>
      <c r="AA66" s="67">
        <f t="shared" si="8"/>
        <v>278.94</v>
      </c>
      <c r="AB66" s="67">
        <f t="shared" si="8"/>
        <v>261.14000000000004</v>
      </c>
      <c r="AC66" s="67">
        <f t="shared" si="8"/>
        <v>226.04</v>
      </c>
      <c r="AD66" s="67">
        <f t="shared" si="8"/>
        <v>197.54</v>
      </c>
      <c r="AE66" s="67">
        <f t="shared" si="8"/>
        <v>163.54</v>
      </c>
      <c r="AF66" s="67">
        <f t="shared" si="8"/>
        <v>170.34</v>
      </c>
      <c r="AG66" s="68">
        <f t="shared" si="8"/>
        <v>489.91</v>
      </c>
      <c r="AH66" s="52">
        <f t="shared" si="2"/>
        <v>307.84000000000003</v>
      </c>
      <c r="AI66" s="53">
        <f t="shared" si="3"/>
        <v>133.04</v>
      </c>
      <c r="AK66" s="54"/>
    </row>
    <row r="67" spans="1:40" x14ac:dyDescent="0.25">
      <c r="A67" s="49" t="s">
        <v>75</v>
      </c>
      <c r="B67" s="50">
        <v>40</v>
      </c>
      <c r="C67" s="50">
        <v>40</v>
      </c>
      <c r="D67" s="50">
        <v>40</v>
      </c>
      <c r="E67" s="50">
        <v>40</v>
      </c>
      <c r="F67" s="50">
        <v>40</v>
      </c>
      <c r="G67" s="50">
        <v>40</v>
      </c>
      <c r="H67" s="50">
        <v>40</v>
      </c>
      <c r="I67" s="50">
        <v>40</v>
      </c>
      <c r="J67" s="50">
        <v>40</v>
      </c>
      <c r="K67" s="50">
        <v>40</v>
      </c>
      <c r="L67" s="50">
        <v>40</v>
      </c>
      <c r="M67" s="50">
        <v>40</v>
      </c>
      <c r="N67" s="50">
        <v>50</v>
      </c>
      <c r="O67" s="50">
        <v>60</v>
      </c>
      <c r="P67" s="50">
        <v>60</v>
      </c>
      <c r="Q67" s="50">
        <v>60</v>
      </c>
      <c r="R67" s="50">
        <v>60</v>
      </c>
      <c r="S67" s="50">
        <v>60</v>
      </c>
      <c r="T67" s="50">
        <v>60</v>
      </c>
      <c r="U67" s="50">
        <v>60</v>
      </c>
      <c r="V67" s="50">
        <v>60</v>
      </c>
      <c r="W67" s="50">
        <v>60</v>
      </c>
      <c r="X67" s="50">
        <v>60</v>
      </c>
      <c r="Y67" s="50">
        <v>60</v>
      </c>
      <c r="Z67" s="50">
        <v>60</v>
      </c>
      <c r="AA67" s="50">
        <v>60</v>
      </c>
      <c r="AB67" s="50">
        <v>60</v>
      </c>
      <c r="AC67" s="50">
        <v>60</v>
      </c>
      <c r="AD67" s="50">
        <v>60</v>
      </c>
      <c r="AE67" s="50">
        <v>60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40</v>
      </c>
      <c r="AK67" s="54"/>
    </row>
    <row r="68" spans="1:40" x14ac:dyDescent="0.25">
      <c r="A68" s="60" t="s">
        <v>76</v>
      </c>
      <c r="B68" s="72">
        <v>15</v>
      </c>
      <c r="C68" s="72">
        <v>15</v>
      </c>
      <c r="D68" s="72">
        <v>15</v>
      </c>
      <c r="E68" s="72">
        <v>15</v>
      </c>
      <c r="F68" s="72">
        <v>15</v>
      </c>
      <c r="G68" s="72">
        <v>15</v>
      </c>
      <c r="H68" s="72">
        <v>15</v>
      </c>
      <c r="I68" s="72">
        <v>15</v>
      </c>
      <c r="J68" s="72">
        <v>15</v>
      </c>
      <c r="K68" s="72">
        <v>15</v>
      </c>
      <c r="L68" s="72">
        <v>15</v>
      </c>
      <c r="M68" s="72">
        <v>15</v>
      </c>
      <c r="N68" s="72">
        <v>21.6</v>
      </c>
      <c r="O68" s="72">
        <v>29.9</v>
      </c>
      <c r="P68" s="72">
        <v>29.9</v>
      </c>
      <c r="Q68" s="72">
        <v>29.9</v>
      </c>
      <c r="R68" s="72">
        <v>29.9</v>
      </c>
      <c r="S68" s="72">
        <v>29.9</v>
      </c>
      <c r="T68" s="72">
        <v>29.9</v>
      </c>
      <c r="U68" s="72">
        <v>29.9</v>
      </c>
      <c r="V68" s="72">
        <v>29.9</v>
      </c>
      <c r="W68" s="72">
        <v>29.9</v>
      </c>
      <c r="X68" s="72">
        <v>29.9</v>
      </c>
      <c r="Y68" s="72">
        <v>29.9</v>
      </c>
      <c r="Z68" s="72">
        <v>29.9</v>
      </c>
      <c r="AA68" s="72">
        <v>29.9</v>
      </c>
      <c r="AB68" s="72">
        <v>28.9</v>
      </c>
      <c r="AC68" s="72">
        <v>28.9</v>
      </c>
      <c r="AD68" s="72">
        <v>28.9</v>
      </c>
      <c r="AE68" s="72">
        <v>28.9</v>
      </c>
      <c r="AF68" s="72">
        <v>28.9</v>
      </c>
      <c r="AG68" s="61">
        <v>32</v>
      </c>
      <c r="AH68" s="52">
        <f t="shared" si="2"/>
        <v>29.9</v>
      </c>
      <c r="AI68" s="53">
        <f t="shared" si="3"/>
        <v>15</v>
      </c>
      <c r="AK68" s="54"/>
    </row>
    <row r="69" spans="1:40" ht="15.75" thickBot="1" x14ac:dyDescent="0.3">
      <c r="A69" s="78" t="s">
        <v>77</v>
      </c>
      <c r="B69" s="74">
        <v>6</v>
      </c>
      <c r="C69" s="74">
        <v>6</v>
      </c>
      <c r="D69" s="74">
        <v>6</v>
      </c>
      <c r="E69" s="74">
        <v>6</v>
      </c>
      <c r="F69" s="74">
        <v>6</v>
      </c>
      <c r="G69" s="74">
        <v>6</v>
      </c>
      <c r="H69" s="74">
        <v>6</v>
      </c>
      <c r="I69" s="74">
        <v>6</v>
      </c>
      <c r="J69" s="74">
        <v>6</v>
      </c>
      <c r="K69" s="74">
        <v>6</v>
      </c>
      <c r="L69" s="74">
        <v>6</v>
      </c>
      <c r="M69" s="74">
        <v>6</v>
      </c>
      <c r="N69" s="74">
        <v>7.9</v>
      </c>
      <c r="O69" s="74">
        <v>10.9</v>
      </c>
      <c r="P69" s="74">
        <v>10.9</v>
      </c>
      <c r="Q69" s="74">
        <v>10.9</v>
      </c>
      <c r="R69" s="74">
        <v>10.9</v>
      </c>
      <c r="S69" s="74">
        <v>10.9</v>
      </c>
      <c r="T69" s="74">
        <v>10.9</v>
      </c>
      <c r="U69" s="74">
        <v>10.9</v>
      </c>
      <c r="V69" s="74">
        <v>10.9</v>
      </c>
      <c r="W69" s="74">
        <v>10.9</v>
      </c>
      <c r="X69" s="74">
        <v>10.9</v>
      </c>
      <c r="Y69" s="74">
        <v>10.9</v>
      </c>
      <c r="Z69" s="74">
        <v>10.9</v>
      </c>
      <c r="AA69" s="74">
        <v>10.9</v>
      </c>
      <c r="AB69" s="74">
        <v>10.6</v>
      </c>
      <c r="AC69" s="74">
        <v>10.6</v>
      </c>
      <c r="AD69" s="74">
        <v>10.6</v>
      </c>
      <c r="AE69" s="74">
        <v>10.6</v>
      </c>
      <c r="AF69" s="74">
        <v>10.6</v>
      </c>
      <c r="AG69" s="75">
        <v>14</v>
      </c>
      <c r="AH69" s="52">
        <f t="shared" si="2"/>
        <v>10.9</v>
      </c>
      <c r="AI69" s="53">
        <f t="shared" si="3"/>
        <v>6</v>
      </c>
      <c r="AK69" s="54"/>
    </row>
    <row r="70" spans="1:40" ht="15.75" thickBot="1" x14ac:dyDescent="0.3">
      <c r="A70" s="81" t="s">
        <v>78</v>
      </c>
      <c r="B70" s="67">
        <f t="shared" ref="B70:L70" si="10">B67+B68+B69</f>
        <v>61</v>
      </c>
      <c r="C70" s="67">
        <f t="shared" si="10"/>
        <v>61</v>
      </c>
      <c r="D70" s="67">
        <f t="shared" si="10"/>
        <v>61</v>
      </c>
      <c r="E70" s="67">
        <f t="shared" si="10"/>
        <v>61</v>
      </c>
      <c r="F70" s="67">
        <f t="shared" si="10"/>
        <v>61</v>
      </c>
      <c r="G70" s="67">
        <f t="shared" si="10"/>
        <v>61</v>
      </c>
      <c r="H70" s="67">
        <f t="shared" si="10"/>
        <v>61</v>
      </c>
      <c r="I70" s="67">
        <f t="shared" si="10"/>
        <v>61</v>
      </c>
      <c r="J70" s="67">
        <f t="shared" si="10"/>
        <v>61</v>
      </c>
      <c r="K70" s="67">
        <f t="shared" si="10"/>
        <v>61</v>
      </c>
      <c r="L70" s="67">
        <f t="shared" si="10"/>
        <v>61</v>
      </c>
      <c r="M70" s="67">
        <f t="shared" ref="M70:AF70" si="11">M67+M68+M69</f>
        <v>61</v>
      </c>
      <c r="N70" s="67">
        <f t="shared" si="11"/>
        <v>79.5</v>
      </c>
      <c r="O70" s="67">
        <f t="shared" si="11"/>
        <v>100.80000000000001</v>
      </c>
      <c r="P70" s="67">
        <f t="shared" si="11"/>
        <v>100.80000000000001</v>
      </c>
      <c r="Q70" s="67">
        <f t="shared" si="11"/>
        <v>100.80000000000001</v>
      </c>
      <c r="R70" s="67">
        <f t="shared" si="11"/>
        <v>100.80000000000001</v>
      </c>
      <c r="S70" s="67">
        <f t="shared" si="11"/>
        <v>100.80000000000001</v>
      </c>
      <c r="T70" s="67">
        <f t="shared" si="11"/>
        <v>100.80000000000001</v>
      </c>
      <c r="U70" s="67">
        <f t="shared" si="11"/>
        <v>100.80000000000001</v>
      </c>
      <c r="V70" s="67">
        <f t="shared" si="11"/>
        <v>100.80000000000001</v>
      </c>
      <c r="W70" s="67">
        <f t="shared" si="11"/>
        <v>100.80000000000001</v>
      </c>
      <c r="X70" s="67">
        <f t="shared" si="11"/>
        <v>100.80000000000001</v>
      </c>
      <c r="Y70" s="67">
        <f t="shared" si="11"/>
        <v>100.80000000000001</v>
      </c>
      <c r="Z70" s="67">
        <f t="shared" si="11"/>
        <v>100.80000000000001</v>
      </c>
      <c r="AA70" s="67">
        <f t="shared" si="11"/>
        <v>100.80000000000001</v>
      </c>
      <c r="AB70" s="67">
        <f t="shared" si="11"/>
        <v>99.5</v>
      </c>
      <c r="AC70" s="67">
        <f t="shared" si="11"/>
        <v>99.5</v>
      </c>
      <c r="AD70" s="67">
        <f t="shared" si="11"/>
        <v>99.5</v>
      </c>
      <c r="AE70" s="67">
        <f t="shared" si="11"/>
        <v>99.5</v>
      </c>
      <c r="AF70" s="67">
        <f t="shared" si="11"/>
        <v>99.5</v>
      </c>
      <c r="AG70" s="68">
        <f>SUM(AG67:AG69)</f>
        <v>106</v>
      </c>
      <c r="AH70" s="52">
        <f t="shared" si="2"/>
        <v>100.80000000000001</v>
      </c>
      <c r="AI70" s="53">
        <f t="shared" si="3"/>
        <v>61</v>
      </c>
      <c r="AK70" s="54"/>
    </row>
    <row r="71" spans="1:40" x14ac:dyDescent="0.25">
      <c r="A71" s="49" t="s">
        <v>79</v>
      </c>
      <c r="B71" s="50">
        <v>57</v>
      </c>
      <c r="C71" s="50">
        <v>57</v>
      </c>
      <c r="D71" s="50">
        <v>64</v>
      </c>
      <c r="E71" s="50">
        <v>62</v>
      </c>
      <c r="F71" s="50">
        <v>62</v>
      </c>
      <c r="G71" s="50">
        <v>62</v>
      </c>
      <c r="H71" s="50">
        <v>62</v>
      </c>
      <c r="I71" s="50">
        <v>55</v>
      </c>
      <c r="J71" s="50">
        <v>50</v>
      </c>
      <c r="K71" s="50">
        <v>53</v>
      </c>
      <c r="L71" s="50">
        <v>53</v>
      </c>
      <c r="M71" s="50">
        <v>58.2</v>
      </c>
      <c r="N71" s="50">
        <v>61.6</v>
      </c>
      <c r="O71" s="50">
        <v>68.2</v>
      </c>
      <c r="P71" s="50">
        <v>69</v>
      </c>
      <c r="Q71" s="50">
        <v>71</v>
      </c>
      <c r="R71" s="50">
        <v>71.599999999999994</v>
      </c>
      <c r="S71" s="50">
        <v>75.3</v>
      </c>
      <c r="T71" s="50">
        <v>74</v>
      </c>
      <c r="U71" s="50">
        <v>66</v>
      </c>
      <c r="V71" s="50">
        <v>65</v>
      </c>
      <c r="W71" s="50">
        <v>56.4</v>
      </c>
      <c r="X71" s="50">
        <v>63.7</v>
      </c>
      <c r="Y71" s="50">
        <v>68</v>
      </c>
      <c r="Z71" s="50">
        <v>65.2</v>
      </c>
      <c r="AA71" s="50">
        <v>65.2</v>
      </c>
      <c r="AB71" s="50">
        <v>65</v>
      </c>
      <c r="AC71" s="50">
        <v>67</v>
      </c>
      <c r="AD71" s="50">
        <v>65.900000000000006</v>
      </c>
      <c r="AE71" s="50">
        <v>65.8</v>
      </c>
      <c r="AF71" s="50">
        <v>61.2</v>
      </c>
      <c r="AG71" s="56"/>
      <c r="AH71" s="52">
        <f t="shared" si="2"/>
        <v>75.3</v>
      </c>
      <c r="AI71" s="53">
        <f t="shared" si="3"/>
        <v>50</v>
      </c>
      <c r="AK71" s="54"/>
    </row>
    <row r="72" spans="1:40" x14ac:dyDescent="0.25">
      <c r="A72" s="60" t="s">
        <v>80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367</v>
      </c>
      <c r="C73" s="72">
        <v>250</v>
      </c>
      <c r="D73" s="72">
        <v>248</v>
      </c>
      <c r="E73" s="72">
        <v>257</v>
      </c>
      <c r="F73" s="72">
        <v>257</v>
      </c>
      <c r="G73" s="72">
        <v>257</v>
      </c>
      <c r="H73" s="72">
        <v>315</v>
      </c>
      <c r="I73" s="72">
        <v>300</v>
      </c>
      <c r="J73" s="72">
        <v>300</v>
      </c>
      <c r="K73" s="72">
        <v>345</v>
      </c>
      <c r="L73" s="72">
        <v>380</v>
      </c>
      <c r="M73" s="72">
        <v>381.8</v>
      </c>
      <c r="N73" s="72">
        <v>386</v>
      </c>
      <c r="O73" s="72">
        <v>373</v>
      </c>
      <c r="P73" s="72">
        <v>405</v>
      </c>
      <c r="Q73" s="72">
        <v>391.9</v>
      </c>
      <c r="R73" s="72">
        <v>410.2</v>
      </c>
      <c r="S73" s="72">
        <v>403.2</v>
      </c>
      <c r="T73" s="72">
        <v>382</v>
      </c>
      <c r="U73" s="72">
        <v>387</v>
      </c>
      <c r="V73" s="72">
        <v>376</v>
      </c>
      <c r="W73" s="72">
        <v>386</v>
      </c>
      <c r="X73" s="72">
        <v>385.6</v>
      </c>
      <c r="Y73" s="72">
        <v>400</v>
      </c>
      <c r="Z73" s="72">
        <v>413</v>
      </c>
      <c r="AA73" s="72">
        <v>430</v>
      </c>
      <c r="AB73" s="72">
        <v>375</v>
      </c>
      <c r="AC73" s="72">
        <v>385</v>
      </c>
      <c r="AD73" s="72">
        <v>390</v>
      </c>
      <c r="AE73" s="72">
        <v>381.2</v>
      </c>
      <c r="AF73" s="72">
        <v>410</v>
      </c>
      <c r="AG73" s="82"/>
      <c r="AH73" s="52">
        <f t="shared" si="2"/>
        <v>430</v>
      </c>
      <c r="AI73" s="53">
        <f t="shared" si="3"/>
        <v>248</v>
      </c>
      <c r="AK73" s="54"/>
    </row>
    <row r="74" spans="1:40" x14ac:dyDescent="0.25">
      <c r="A74" s="60" t="s">
        <v>82</v>
      </c>
      <c r="B74" s="72">
        <v>50</v>
      </c>
      <c r="C74" s="72">
        <v>50</v>
      </c>
      <c r="D74" s="72">
        <v>54</v>
      </c>
      <c r="E74" s="72">
        <v>54</v>
      </c>
      <c r="F74" s="72">
        <v>54</v>
      </c>
      <c r="G74" s="72">
        <v>54</v>
      </c>
      <c r="H74" s="72">
        <v>54</v>
      </c>
      <c r="I74" s="72">
        <v>54</v>
      </c>
      <c r="J74" s="72">
        <v>54</v>
      </c>
      <c r="K74" s="72">
        <v>54</v>
      </c>
      <c r="L74" s="72">
        <v>54</v>
      </c>
      <c r="M74" s="83">
        <v>54.7</v>
      </c>
      <c r="N74" s="83">
        <v>54.6</v>
      </c>
      <c r="O74" s="83">
        <v>54.6</v>
      </c>
      <c r="P74" s="83">
        <v>60</v>
      </c>
      <c r="Q74" s="83">
        <v>60</v>
      </c>
      <c r="R74" s="83">
        <v>57</v>
      </c>
      <c r="S74" s="83">
        <v>57</v>
      </c>
      <c r="T74" s="83">
        <v>60.2</v>
      </c>
      <c r="U74" s="83">
        <v>60.2</v>
      </c>
      <c r="V74" s="83">
        <v>60.2</v>
      </c>
      <c r="W74" s="83">
        <v>54</v>
      </c>
      <c r="X74" s="83">
        <v>50.7</v>
      </c>
      <c r="Y74" s="83">
        <v>50.7</v>
      </c>
      <c r="Z74" s="72">
        <v>50.7</v>
      </c>
      <c r="AA74" s="72">
        <v>50.7</v>
      </c>
      <c r="AB74" s="72">
        <v>50.8</v>
      </c>
      <c r="AC74" s="72">
        <v>50.8</v>
      </c>
      <c r="AD74" s="72">
        <v>50.7</v>
      </c>
      <c r="AE74" s="72">
        <v>50.1</v>
      </c>
      <c r="AF74" s="72">
        <v>50.9</v>
      </c>
      <c r="AG74" s="82"/>
      <c r="AH74" s="52">
        <f t="shared" si="2"/>
        <v>60.2</v>
      </c>
      <c r="AI74" s="53">
        <f t="shared" si="3"/>
        <v>50</v>
      </c>
      <c r="AK74" s="54"/>
    </row>
    <row r="75" spans="1:40" x14ac:dyDescent="0.25">
      <c r="A75" s="60" t="s">
        <v>83</v>
      </c>
      <c r="B75" s="50">
        <v>21</v>
      </c>
      <c r="C75" s="50">
        <v>21</v>
      </c>
      <c r="D75" s="50">
        <v>25</v>
      </c>
      <c r="E75" s="50">
        <v>25</v>
      </c>
      <c r="F75" s="50">
        <v>25</v>
      </c>
      <c r="G75" s="50">
        <v>25</v>
      </c>
      <c r="H75" s="50">
        <v>25</v>
      </c>
      <c r="I75" s="50">
        <v>25</v>
      </c>
      <c r="J75" s="50">
        <v>25</v>
      </c>
      <c r="K75" s="50">
        <v>25</v>
      </c>
      <c r="L75" s="50">
        <v>25</v>
      </c>
      <c r="M75" s="50">
        <v>23.5</v>
      </c>
      <c r="N75" s="50">
        <v>29.3</v>
      </c>
      <c r="O75" s="50">
        <v>29.3</v>
      </c>
      <c r="P75" s="50">
        <v>33</v>
      </c>
      <c r="Q75" s="50">
        <v>34</v>
      </c>
      <c r="R75" s="50">
        <v>30.7</v>
      </c>
      <c r="S75" s="50">
        <v>32.700000000000003</v>
      </c>
      <c r="T75" s="50">
        <v>32.700000000000003</v>
      </c>
      <c r="U75" s="50">
        <v>32.700000000000003</v>
      </c>
      <c r="V75" s="50">
        <v>25.1</v>
      </c>
      <c r="W75" s="50">
        <v>26</v>
      </c>
      <c r="X75" s="50">
        <v>22</v>
      </c>
      <c r="Y75" s="50">
        <v>22</v>
      </c>
      <c r="Z75" s="50">
        <v>23</v>
      </c>
      <c r="AA75" s="50">
        <v>21.7</v>
      </c>
      <c r="AB75" s="50">
        <v>21.9</v>
      </c>
      <c r="AC75" s="50">
        <v>21.9</v>
      </c>
      <c r="AD75" s="50">
        <v>22.3</v>
      </c>
      <c r="AE75" s="50">
        <v>22.2</v>
      </c>
      <c r="AF75" s="50">
        <v>28.8</v>
      </c>
      <c r="AG75" s="82"/>
      <c r="AH75" s="52">
        <f t="shared" ref="AH75:AH117" si="12">MAX(B75:AF75)</f>
        <v>34</v>
      </c>
      <c r="AI75" s="53">
        <f t="shared" ref="AI75:AI117" si="13">MIN(B75:AF75)</f>
        <v>21</v>
      </c>
      <c r="AK75" s="54"/>
    </row>
    <row r="76" spans="1:40" x14ac:dyDescent="0.25">
      <c r="A76" s="60" t="s">
        <v>84</v>
      </c>
      <c r="B76" s="84">
        <v>5</v>
      </c>
      <c r="C76" s="84">
        <v>5</v>
      </c>
      <c r="D76" s="84">
        <v>5</v>
      </c>
      <c r="E76" s="84">
        <v>5</v>
      </c>
      <c r="F76" s="84">
        <v>5</v>
      </c>
      <c r="G76" s="84">
        <v>5</v>
      </c>
      <c r="H76" s="84">
        <v>5</v>
      </c>
      <c r="I76" s="84">
        <v>5</v>
      </c>
      <c r="J76" s="84">
        <v>5</v>
      </c>
      <c r="K76" s="84">
        <v>5</v>
      </c>
      <c r="L76" s="84">
        <v>5</v>
      </c>
      <c r="M76" s="84">
        <v>5</v>
      </c>
      <c r="N76" s="84">
        <v>5</v>
      </c>
      <c r="O76" s="84">
        <v>5</v>
      </c>
      <c r="P76" s="84">
        <v>5</v>
      </c>
      <c r="Q76" s="84">
        <v>5</v>
      </c>
      <c r="R76" s="84">
        <v>5</v>
      </c>
      <c r="S76" s="84">
        <v>5</v>
      </c>
      <c r="T76" s="84">
        <v>5</v>
      </c>
      <c r="U76" s="84">
        <v>5</v>
      </c>
      <c r="V76" s="84">
        <v>5</v>
      </c>
      <c r="W76" s="84">
        <v>5</v>
      </c>
      <c r="X76" s="84">
        <v>5</v>
      </c>
      <c r="Y76" s="84">
        <v>5</v>
      </c>
      <c r="Z76" s="84">
        <v>5</v>
      </c>
      <c r="AA76" s="84">
        <v>5</v>
      </c>
      <c r="AB76" s="84">
        <v>5</v>
      </c>
      <c r="AC76" s="84">
        <v>5</v>
      </c>
      <c r="AD76" s="84">
        <v>5</v>
      </c>
      <c r="AE76" s="84">
        <v>5</v>
      </c>
      <c r="AF76" s="84">
        <v>5</v>
      </c>
      <c r="AG76" s="82"/>
      <c r="AH76" s="52">
        <f t="shared" si="12"/>
        <v>5</v>
      </c>
      <c r="AI76" s="53">
        <f t="shared" si="13"/>
        <v>5</v>
      </c>
      <c r="AK76" s="54"/>
    </row>
    <row r="77" spans="1:40" ht="15.75" thickBot="1" x14ac:dyDescent="0.3">
      <c r="A77" s="60" t="s">
        <v>85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2"/>
        <v>0</v>
      </c>
      <c r="AI77" s="53">
        <f t="shared" si="13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2"/>
        <v>0</v>
      </c>
      <c r="AI78" s="53">
        <f t="shared" si="13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2"/>
        <v>0</v>
      </c>
      <c r="AI79" s="53">
        <f t="shared" si="13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2"/>
        <v>0</v>
      </c>
      <c r="AI80" s="53">
        <f t="shared" si="13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2"/>
        <v>0</v>
      </c>
      <c r="AI81" s="53">
        <f t="shared" si="13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:AF82" si="14">SUMIF(B71:B81,"&gt;0")</f>
        <v>500</v>
      </c>
      <c r="C82" s="67">
        <f t="shared" si="14"/>
        <v>383</v>
      </c>
      <c r="D82" s="67">
        <f t="shared" si="14"/>
        <v>396</v>
      </c>
      <c r="E82" s="67">
        <f t="shared" si="14"/>
        <v>403</v>
      </c>
      <c r="F82" s="67">
        <f t="shared" ref="F82:L82" si="15">SUMIF(F71:F81,"&gt;0")</f>
        <v>403</v>
      </c>
      <c r="G82" s="67">
        <f t="shared" si="15"/>
        <v>403</v>
      </c>
      <c r="H82" s="67">
        <f t="shared" si="15"/>
        <v>461</v>
      </c>
      <c r="I82" s="67">
        <f t="shared" si="15"/>
        <v>439</v>
      </c>
      <c r="J82" s="67">
        <f t="shared" si="15"/>
        <v>434</v>
      </c>
      <c r="K82" s="67">
        <f t="shared" si="15"/>
        <v>482</v>
      </c>
      <c r="L82" s="67">
        <f t="shared" si="15"/>
        <v>517</v>
      </c>
      <c r="M82" s="67">
        <f t="shared" si="14"/>
        <v>523.20000000000005</v>
      </c>
      <c r="N82" s="67">
        <f t="shared" si="14"/>
        <v>536.5</v>
      </c>
      <c r="O82" s="67">
        <f t="shared" si="14"/>
        <v>530.1</v>
      </c>
      <c r="P82" s="67">
        <f t="shared" si="14"/>
        <v>572</v>
      </c>
      <c r="Q82" s="67">
        <f t="shared" si="14"/>
        <v>561.9</v>
      </c>
      <c r="R82" s="67">
        <f t="shared" si="14"/>
        <v>574.5</v>
      </c>
      <c r="S82" s="67">
        <f t="shared" si="14"/>
        <v>573.20000000000005</v>
      </c>
      <c r="T82" s="67">
        <f t="shared" si="14"/>
        <v>553.90000000000009</v>
      </c>
      <c r="U82" s="67">
        <f t="shared" si="14"/>
        <v>550.90000000000009</v>
      </c>
      <c r="V82" s="67">
        <f t="shared" si="14"/>
        <v>531.29999999999995</v>
      </c>
      <c r="W82" s="67">
        <f t="shared" si="14"/>
        <v>527.4</v>
      </c>
      <c r="X82" s="67">
        <f t="shared" si="14"/>
        <v>527</v>
      </c>
      <c r="Y82" s="67">
        <f t="shared" si="14"/>
        <v>545.70000000000005</v>
      </c>
      <c r="Z82" s="67">
        <f t="shared" si="14"/>
        <v>556.9</v>
      </c>
      <c r="AA82" s="67">
        <f t="shared" si="14"/>
        <v>572.6</v>
      </c>
      <c r="AB82" s="67">
        <f t="shared" si="14"/>
        <v>517.70000000000005</v>
      </c>
      <c r="AC82" s="67">
        <f t="shared" si="14"/>
        <v>529.70000000000005</v>
      </c>
      <c r="AD82" s="67">
        <f t="shared" si="14"/>
        <v>533.9</v>
      </c>
      <c r="AE82" s="67">
        <f t="shared" si="14"/>
        <v>524.30000000000007</v>
      </c>
      <c r="AF82" s="67">
        <f t="shared" si="14"/>
        <v>555.9</v>
      </c>
      <c r="AG82" s="95">
        <f>SUM(AG71:AG81)</f>
        <v>0</v>
      </c>
      <c r="AH82" s="52">
        <f t="shared" si="12"/>
        <v>574.5</v>
      </c>
      <c r="AI82" s="53">
        <f t="shared" si="13"/>
        <v>383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2"/>
        <v>0</v>
      </c>
      <c r="AI83" s="53">
        <f t="shared" si="13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2"/>
        <v>0</v>
      </c>
      <c r="AI84" s="53">
        <f t="shared" si="13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2"/>
        <v>0</v>
      </c>
      <c r="AI85" s="53">
        <f t="shared" si="13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2"/>
        <v>0</v>
      </c>
      <c r="AI86" s="53">
        <f t="shared" si="13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:AG87" si="16">B48+B52+B70+B66+B82+B86</f>
        <v>1243.6399999999999</v>
      </c>
      <c r="C87" s="102">
        <f t="shared" si="16"/>
        <v>1193.6399999999999</v>
      </c>
      <c r="D87" s="102">
        <f t="shared" si="16"/>
        <v>1185.6399999999999</v>
      </c>
      <c r="E87" s="102">
        <f t="shared" si="16"/>
        <v>1178.6399999999999</v>
      </c>
      <c r="F87" s="102">
        <f t="shared" ref="F87:L87" si="17">F48+F52+F70+F66+F82+F86</f>
        <v>1158.6399999999999</v>
      </c>
      <c r="G87" s="102">
        <f t="shared" si="17"/>
        <v>1182.6399999999999</v>
      </c>
      <c r="H87" s="102">
        <f t="shared" si="17"/>
        <v>1275.6399999999999</v>
      </c>
      <c r="I87" s="102">
        <f t="shared" si="17"/>
        <v>1318.6399999999999</v>
      </c>
      <c r="J87" s="102">
        <f t="shared" si="17"/>
        <v>1353.6399999999999</v>
      </c>
      <c r="K87" s="102">
        <f t="shared" si="17"/>
        <v>1331.6399999999999</v>
      </c>
      <c r="L87" s="102">
        <f t="shared" si="17"/>
        <v>1339.6399999999999</v>
      </c>
      <c r="M87" s="102">
        <f t="shared" si="16"/>
        <v>1328.44</v>
      </c>
      <c r="N87" s="102">
        <f t="shared" si="16"/>
        <v>1289.2399999999998</v>
      </c>
      <c r="O87" s="102">
        <f t="shared" si="16"/>
        <v>1362.34</v>
      </c>
      <c r="P87" s="102">
        <f t="shared" si="16"/>
        <v>1486.9399999999998</v>
      </c>
      <c r="Q87" s="102">
        <f t="shared" si="16"/>
        <v>1469.6399999999999</v>
      </c>
      <c r="R87" s="102">
        <f t="shared" si="16"/>
        <v>1482.24</v>
      </c>
      <c r="S87" s="102">
        <f t="shared" si="16"/>
        <v>1530.84</v>
      </c>
      <c r="T87" s="102">
        <f t="shared" si="16"/>
        <v>1514.6399999999999</v>
      </c>
      <c r="U87" s="102">
        <f t="shared" si="16"/>
        <v>1504.74</v>
      </c>
      <c r="V87" s="102">
        <f t="shared" si="16"/>
        <v>1390.4399999999998</v>
      </c>
      <c r="W87" s="102">
        <f t="shared" si="16"/>
        <v>1344.1399999999999</v>
      </c>
      <c r="X87" s="102">
        <f t="shared" si="16"/>
        <v>1293.1399999999999</v>
      </c>
      <c r="Y87" s="102">
        <f t="shared" si="16"/>
        <v>1314.04</v>
      </c>
      <c r="Z87" s="102">
        <f t="shared" si="16"/>
        <v>1509.1399999999999</v>
      </c>
      <c r="AA87" s="102">
        <f t="shared" si="16"/>
        <v>1486.44</v>
      </c>
      <c r="AB87" s="102">
        <f t="shared" si="16"/>
        <v>1407.8400000000001</v>
      </c>
      <c r="AC87" s="102">
        <f t="shared" si="16"/>
        <v>1393.6399999999999</v>
      </c>
      <c r="AD87" s="102">
        <f t="shared" si="16"/>
        <v>1358.7399999999998</v>
      </c>
      <c r="AE87" s="102">
        <f t="shared" si="16"/>
        <v>1271.1399999999999</v>
      </c>
      <c r="AF87" s="102">
        <f t="shared" si="16"/>
        <v>1341.24</v>
      </c>
      <c r="AG87" s="68">
        <f t="shared" si="16"/>
        <v>2065.09</v>
      </c>
      <c r="AH87" s="52">
        <f>MAX(B87:AF87)</f>
        <v>1530.84</v>
      </c>
      <c r="AI87" s="53">
        <f>MIN(B87:AF87)</f>
        <v>1158.6399999999999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>
        <v>0</v>
      </c>
      <c r="C88" s="104"/>
      <c r="D88" s="104"/>
      <c r="E88" s="104"/>
      <c r="F88" s="104"/>
      <c r="G88" s="104"/>
      <c r="H88" s="104"/>
      <c r="I88" s="104"/>
      <c r="J88" s="104"/>
      <c r="K88" s="104">
        <v>150</v>
      </c>
      <c r="L88" s="104">
        <v>150</v>
      </c>
      <c r="M88" s="104">
        <v>150</v>
      </c>
      <c r="N88" s="104">
        <v>150</v>
      </c>
      <c r="O88" s="104">
        <v>120</v>
      </c>
      <c r="P88" s="104"/>
      <c r="Q88" s="104"/>
      <c r="R88" s="104"/>
      <c r="S88" s="104"/>
      <c r="T88" s="104"/>
      <c r="U88" s="104">
        <v>120</v>
      </c>
      <c r="V88" s="104">
        <v>120</v>
      </c>
      <c r="W88" s="104">
        <v>120</v>
      </c>
      <c r="X88" s="104">
        <v>180</v>
      </c>
      <c r="Y88" s="104">
        <v>180</v>
      </c>
      <c r="Z88" s="104">
        <v>180</v>
      </c>
      <c r="AA88" s="104">
        <v>180</v>
      </c>
      <c r="AB88" s="104">
        <v>180</v>
      </c>
      <c r="AC88" s="104">
        <v>180</v>
      </c>
      <c r="AD88" s="104">
        <v>180</v>
      </c>
      <c r="AE88" s="104"/>
      <c r="AF88" s="104"/>
      <c r="AG88" s="95"/>
      <c r="AH88" s="52">
        <f t="shared" si="12"/>
        <v>180</v>
      </c>
      <c r="AI88" s="53">
        <f t="shared" si="13"/>
        <v>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:AF89" si="18">B87+B88</f>
        <v>1243.6399999999999</v>
      </c>
      <c r="C89" s="102">
        <f t="shared" si="18"/>
        <v>1193.6399999999999</v>
      </c>
      <c r="D89" s="102">
        <f t="shared" si="18"/>
        <v>1185.6399999999999</v>
      </c>
      <c r="E89" s="102">
        <f t="shared" si="18"/>
        <v>1178.6399999999999</v>
      </c>
      <c r="F89" s="102">
        <f t="shared" ref="F89:L89" si="19">F87+F88</f>
        <v>1158.6399999999999</v>
      </c>
      <c r="G89" s="102">
        <f t="shared" si="19"/>
        <v>1182.6399999999999</v>
      </c>
      <c r="H89" s="102">
        <f t="shared" si="19"/>
        <v>1275.6399999999999</v>
      </c>
      <c r="I89" s="102">
        <f t="shared" si="19"/>
        <v>1318.6399999999999</v>
      </c>
      <c r="J89" s="102">
        <f t="shared" si="19"/>
        <v>1353.6399999999999</v>
      </c>
      <c r="K89" s="102">
        <f t="shared" si="19"/>
        <v>1481.6399999999999</v>
      </c>
      <c r="L89" s="102">
        <f t="shared" si="19"/>
        <v>1489.6399999999999</v>
      </c>
      <c r="M89" s="102">
        <f t="shared" si="18"/>
        <v>1478.44</v>
      </c>
      <c r="N89" s="102">
        <f t="shared" si="18"/>
        <v>1439.2399999999998</v>
      </c>
      <c r="O89" s="102">
        <f t="shared" si="18"/>
        <v>1482.34</v>
      </c>
      <c r="P89" s="102">
        <f t="shared" si="18"/>
        <v>1486.9399999999998</v>
      </c>
      <c r="Q89" s="102">
        <f t="shared" si="18"/>
        <v>1469.6399999999999</v>
      </c>
      <c r="R89" s="102">
        <f t="shared" si="18"/>
        <v>1482.24</v>
      </c>
      <c r="S89" s="102">
        <f t="shared" si="18"/>
        <v>1530.84</v>
      </c>
      <c r="T89" s="102">
        <f t="shared" si="18"/>
        <v>1514.6399999999999</v>
      </c>
      <c r="U89" s="102">
        <f t="shared" si="18"/>
        <v>1624.74</v>
      </c>
      <c r="V89" s="102">
        <f t="shared" si="18"/>
        <v>1510.4399999999998</v>
      </c>
      <c r="W89" s="102">
        <f t="shared" si="18"/>
        <v>1464.1399999999999</v>
      </c>
      <c r="X89" s="102">
        <f t="shared" si="18"/>
        <v>1473.1399999999999</v>
      </c>
      <c r="Y89" s="102">
        <f t="shared" si="18"/>
        <v>1494.04</v>
      </c>
      <c r="Z89" s="102">
        <f t="shared" si="18"/>
        <v>1689.1399999999999</v>
      </c>
      <c r="AA89" s="102">
        <f t="shared" si="18"/>
        <v>1666.44</v>
      </c>
      <c r="AB89" s="102">
        <f t="shared" si="18"/>
        <v>1587.8400000000001</v>
      </c>
      <c r="AC89" s="102">
        <f t="shared" si="18"/>
        <v>1573.6399999999999</v>
      </c>
      <c r="AD89" s="102">
        <f t="shared" si="18"/>
        <v>1538.7399999999998</v>
      </c>
      <c r="AE89" s="102">
        <f t="shared" si="18"/>
        <v>1271.1399999999999</v>
      </c>
      <c r="AF89" s="102">
        <f t="shared" si="18"/>
        <v>1341.24</v>
      </c>
      <c r="AG89" s="95">
        <f>AG86+AG82+AG70+AG66+AG48+AG88</f>
        <v>1526.99</v>
      </c>
      <c r="AH89" s="52">
        <f t="shared" si="12"/>
        <v>1689.1399999999999</v>
      </c>
      <c r="AI89" s="53">
        <f t="shared" si="13"/>
        <v>1158.6399999999999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:AF90" si="20">B89-B97</f>
        <v>1243.6399999999999</v>
      </c>
      <c r="C90" s="102">
        <f t="shared" si="20"/>
        <v>1193.6399999999999</v>
      </c>
      <c r="D90" s="102">
        <f t="shared" si="20"/>
        <v>1185.6399999999999</v>
      </c>
      <c r="E90" s="102">
        <f t="shared" si="20"/>
        <v>1178.6399999999999</v>
      </c>
      <c r="F90" s="102">
        <f t="shared" ref="F90:L90" si="21">F89-F97</f>
        <v>1158.6399999999999</v>
      </c>
      <c r="G90" s="102">
        <f t="shared" si="21"/>
        <v>1182.6399999999999</v>
      </c>
      <c r="H90" s="102">
        <f t="shared" si="21"/>
        <v>1275.6399999999999</v>
      </c>
      <c r="I90" s="102">
        <f t="shared" si="21"/>
        <v>1318.6399999999999</v>
      </c>
      <c r="J90" s="102">
        <f t="shared" si="21"/>
        <v>1353.6399999999999</v>
      </c>
      <c r="K90" s="102">
        <f t="shared" si="21"/>
        <v>1481.6399999999999</v>
      </c>
      <c r="L90" s="102">
        <f t="shared" si="21"/>
        <v>1489.6399999999999</v>
      </c>
      <c r="M90" s="102">
        <f t="shared" si="20"/>
        <v>1478.44</v>
      </c>
      <c r="N90" s="102">
        <f t="shared" si="20"/>
        <v>1439.2399999999998</v>
      </c>
      <c r="O90" s="102">
        <f t="shared" si="20"/>
        <v>1482.34</v>
      </c>
      <c r="P90" s="102">
        <f t="shared" si="20"/>
        <v>1486.9399999999998</v>
      </c>
      <c r="Q90" s="102">
        <f t="shared" si="20"/>
        <v>1469.6399999999999</v>
      </c>
      <c r="R90" s="102">
        <f t="shared" si="20"/>
        <v>1482.24</v>
      </c>
      <c r="S90" s="102">
        <f t="shared" si="20"/>
        <v>1530.84</v>
      </c>
      <c r="T90" s="102">
        <f t="shared" si="20"/>
        <v>1514.6399999999999</v>
      </c>
      <c r="U90" s="102">
        <f t="shared" si="20"/>
        <v>1624.74</v>
      </c>
      <c r="V90" s="102">
        <f t="shared" si="20"/>
        <v>1510.4399999999998</v>
      </c>
      <c r="W90" s="102">
        <f t="shared" si="20"/>
        <v>1464.1399999999999</v>
      </c>
      <c r="X90" s="102">
        <f t="shared" si="20"/>
        <v>1473.1399999999999</v>
      </c>
      <c r="Y90" s="102">
        <f t="shared" si="20"/>
        <v>1494.04</v>
      </c>
      <c r="Z90" s="102">
        <f t="shared" si="20"/>
        <v>1689.1399999999999</v>
      </c>
      <c r="AA90" s="102">
        <f t="shared" si="20"/>
        <v>1666.44</v>
      </c>
      <c r="AB90" s="102">
        <f t="shared" si="20"/>
        <v>1587.8400000000001</v>
      </c>
      <c r="AC90" s="102">
        <f t="shared" si="20"/>
        <v>1573.6399999999999</v>
      </c>
      <c r="AD90" s="102">
        <f t="shared" si="20"/>
        <v>1538.7399999999998</v>
      </c>
      <c r="AE90" s="102">
        <f t="shared" si="20"/>
        <v>1271.1399999999999</v>
      </c>
      <c r="AF90" s="102">
        <f t="shared" si="20"/>
        <v>1341.24</v>
      </c>
      <c r="AG90" s="95"/>
      <c r="AH90" s="52">
        <f t="shared" si="12"/>
        <v>1689.1399999999999</v>
      </c>
      <c r="AI90" s="53">
        <f t="shared" si="13"/>
        <v>1158.6399999999999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2"/>
        <v>0</v>
      </c>
      <c r="AI91" s="53">
        <f t="shared" si="13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2"/>
        <v>0</v>
      </c>
      <c r="AI92" s="53">
        <f t="shared" si="13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2"/>
        <v>0</v>
      </c>
      <c r="AI93" s="53">
        <f t="shared" si="13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2"/>
        <v>0</v>
      </c>
      <c r="AI94" s="53">
        <f t="shared" si="13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2"/>
        <v>0</v>
      </c>
      <c r="AI95" s="53">
        <f t="shared" si="13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2"/>
        <v>0</v>
      </c>
      <c r="AI96" s="53">
        <f t="shared" si="13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2"/>
        <v>0</v>
      </c>
      <c r="AI97" s="53">
        <f t="shared" si="13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:AF98" si="22">B82-B97</f>
        <v>500</v>
      </c>
      <c r="C98" s="67">
        <f t="shared" si="22"/>
        <v>383</v>
      </c>
      <c r="D98" s="67">
        <f t="shared" si="22"/>
        <v>396</v>
      </c>
      <c r="E98" s="67">
        <f t="shared" si="22"/>
        <v>403</v>
      </c>
      <c r="F98" s="67">
        <f t="shared" ref="F98:L98" si="23">F82-F97</f>
        <v>403</v>
      </c>
      <c r="G98" s="67">
        <f t="shared" si="23"/>
        <v>403</v>
      </c>
      <c r="H98" s="67">
        <f t="shared" si="23"/>
        <v>461</v>
      </c>
      <c r="I98" s="67">
        <f t="shared" si="23"/>
        <v>439</v>
      </c>
      <c r="J98" s="67">
        <f t="shared" si="23"/>
        <v>434</v>
      </c>
      <c r="K98" s="67">
        <f t="shared" si="23"/>
        <v>482</v>
      </c>
      <c r="L98" s="67">
        <f t="shared" si="23"/>
        <v>517</v>
      </c>
      <c r="M98" s="67">
        <f t="shared" si="22"/>
        <v>523.20000000000005</v>
      </c>
      <c r="N98" s="67">
        <f t="shared" si="22"/>
        <v>536.5</v>
      </c>
      <c r="O98" s="67">
        <f t="shared" si="22"/>
        <v>530.1</v>
      </c>
      <c r="P98" s="67">
        <f t="shared" si="22"/>
        <v>572</v>
      </c>
      <c r="Q98" s="67">
        <f t="shared" si="22"/>
        <v>561.9</v>
      </c>
      <c r="R98" s="67">
        <f t="shared" si="22"/>
        <v>574.5</v>
      </c>
      <c r="S98" s="67">
        <f t="shared" si="22"/>
        <v>573.20000000000005</v>
      </c>
      <c r="T98" s="67">
        <f t="shared" si="22"/>
        <v>553.90000000000009</v>
      </c>
      <c r="U98" s="67">
        <f t="shared" si="22"/>
        <v>550.90000000000009</v>
      </c>
      <c r="V98" s="67">
        <f t="shared" si="22"/>
        <v>531.29999999999995</v>
      </c>
      <c r="W98" s="67">
        <f t="shared" si="22"/>
        <v>527.4</v>
      </c>
      <c r="X98" s="67">
        <f t="shared" si="22"/>
        <v>527</v>
      </c>
      <c r="Y98" s="67">
        <f t="shared" si="22"/>
        <v>545.70000000000005</v>
      </c>
      <c r="Z98" s="67">
        <f t="shared" si="22"/>
        <v>556.9</v>
      </c>
      <c r="AA98" s="67">
        <f t="shared" si="22"/>
        <v>572.6</v>
      </c>
      <c r="AB98" s="67">
        <f t="shared" si="22"/>
        <v>517.70000000000005</v>
      </c>
      <c r="AC98" s="67">
        <f t="shared" si="22"/>
        <v>529.70000000000005</v>
      </c>
      <c r="AD98" s="67">
        <f t="shared" si="22"/>
        <v>533.9</v>
      </c>
      <c r="AE98" s="67">
        <f t="shared" si="22"/>
        <v>524.30000000000007</v>
      </c>
      <c r="AF98" s="67">
        <f t="shared" si="22"/>
        <v>555.9</v>
      </c>
      <c r="AG98" s="95"/>
      <c r="AH98" s="52">
        <f t="shared" si="12"/>
        <v>574.5</v>
      </c>
      <c r="AI98" s="53">
        <f t="shared" si="13"/>
        <v>383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50.04</v>
      </c>
      <c r="C99" s="108">
        <v>50</v>
      </c>
      <c r="D99" s="108">
        <v>50.04</v>
      </c>
      <c r="E99" s="108">
        <v>49.88</v>
      </c>
      <c r="F99" s="108">
        <v>49.88</v>
      </c>
      <c r="G99" s="108">
        <v>49.88</v>
      </c>
      <c r="H99" s="108">
        <v>49.88</v>
      </c>
      <c r="I99" s="108">
        <v>49.91</v>
      </c>
      <c r="J99" s="108">
        <v>50</v>
      </c>
      <c r="K99" s="108">
        <v>40.06</v>
      </c>
      <c r="L99" s="108">
        <v>50.08</v>
      </c>
      <c r="M99" s="108">
        <v>50</v>
      </c>
      <c r="N99" s="108">
        <v>50.04</v>
      </c>
      <c r="O99" s="108">
        <v>50.048999999999999</v>
      </c>
      <c r="P99" s="108">
        <v>49.9</v>
      </c>
      <c r="Q99" s="108">
        <v>49.859000000000002</v>
      </c>
      <c r="R99" s="108">
        <v>49.87</v>
      </c>
      <c r="S99" s="108">
        <v>50.026000000000003</v>
      </c>
      <c r="T99" s="108">
        <v>49.942999999999998</v>
      </c>
      <c r="U99" s="108">
        <v>50.003999999999998</v>
      </c>
      <c r="V99" s="108">
        <v>50.045000000000002</v>
      </c>
      <c r="W99" s="108">
        <v>50.061999999999998</v>
      </c>
      <c r="X99" s="108">
        <v>49.969000000000001</v>
      </c>
      <c r="Y99" s="108">
        <v>50.012</v>
      </c>
      <c r="Z99" s="108">
        <v>50.173000000000002</v>
      </c>
      <c r="AA99" s="108">
        <v>49.957000000000001</v>
      </c>
      <c r="AB99" s="108">
        <v>50.02</v>
      </c>
      <c r="AC99" s="108">
        <v>50.02</v>
      </c>
      <c r="AD99" s="108">
        <v>49.8</v>
      </c>
      <c r="AE99" s="108">
        <v>49.93</v>
      </c>
      <c r="AF99" s="108">
        <v>50.06</v>
      </c>
      <c r="AG99" s="109"/>
      <c r="AH99" s="52">
        <f t="shared" si="12"/>
        <v>50.173000000000002</v>
      </c>
      <c r="AI99" s="53">
        <f t="shared" si="13"/>
        <v>40.06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128</v>
      </c>
      <c r="C100" s="72">
        <v>128</v>
      </c>
      <c r="D100" s="72">
        <v>129</v>
      </c>
      <c r="E100" s="72">
        <v>129</v>
      </c>
      <c r="F100" s="72">
        <v>129</v>
      </c>
      <c r="G100" s="72">
        <v>129</v>
      </c>
      <c r="H100" s="72">
        <v>129</v>
      </c>
      <c r="I100" s="72">
        <v>127.5</v>
      </c>
      <c r="J100" s="72">
        <v>129</v>
      </c>
      <c r="K100" s="72">
        <v>129</v>
      </c>
      <c r="L100" s="72">
        <v>127.6</v>
      </c>
      <c r="M100" s="72">
        <v>126.9</v>
      </c>
      <c r="N100" s="72">
        <v>126.9</v>
      </c>
      <c r="O100" s="72">
        <v>127</v>
      </c>
      <c r="P100" s="72">
        <v>126</v>
      </c>
      <c r="Q100" s="72">
        <v>126</v>
      </c>
      <c r="R100" s="72">
        <v>126</v>
      </c>
      <c r="S100" s="72">
        <v>125</v>
      </c>
      <c r="T100" s="72">
        <v>126.3</v>
      </c>
      <c r="U100" s="72">
        <v>125.8</v>
      </c>
      <c r="V100" s="72">
        <v>128.6</v>
      </c>
      <c r="W100" s="72">
        <v>128.19999999999999</v>
      </c>
      <c r="X100" s="72">
        <v>129.19999999999999</v>
      </c>
      <c r="Y100" s="72">
        <v>128.9</v>
      </c>
      <c r="Z100" s="72">
        <v>128.4</v>
      </c>
      <c r="AA100" s="72">
        <v>127.3</v>
      </c>
      <c r="AB100" s="72">
        <v>129.4</v>
      </c>
      <c r="AC100" s="72">
        <v>129.4</v>
      </c>
      <c r="AD100" s="72">
        <v>128.80000000000001</v>
      </c>
      <c r="AE100" s="72">
        <v>130.30000000000001</v>
      </c>
      <c r="AF100" s="72">
        <v>127.2</v>
      </c>
      <c r="AG100" s="111"/>
      <c r="AH100" s="52">
        <f t="shared" si="12"/>
        <v>130.30000000000001</v>
      </c>
      <c r="AI100" s="53">
        <f t="shared" si="13"/>
        <v>125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132</v>
      </c>
      <c r="C101" s="72">
        <v>132</v>
      </c>
      <c r="D101" s="72">
        <v>133</v>
      </c>
      <c r="E101" s="72">
        <v>133</v>
      </c>
      <c r="F101" s="72">
        <v>133</v>
      </c>
      <c r="G101" s="72">
        <v>133</v>
      </c>
      <c r="H101" s="72">
        <v>133</v>
      </c>
      <c r="I101" s="72">
        <v>130.30000000000001</v>
      </c>
      <c r="J101" s="72">
        <v>133</v>
      </c>
      <c r="K101" s="72">
        <v>130</v>
      </c>
      <c r="L101" s="72">
        <v>129.5</v>
      </c>
      <c r="M101" s="72">
        <v>128.69999999999999</v>
      </c>
      <c r="N101" s="72">
        <v>128.69999999999999</v>
      </c>
      <c r="O101" s="72">
        <v>128.9</v>
      </c>
      <c r="P101" s="72">
        <v>128.9</v>
      </c>
      <c r="Q101" s="72">
        <v>128.9</v>
      </c>
      <c r="R101" s="72">
        <v>128.9</v>
      </c>
      <c r="S101" s="72">
        <v>128.5</v>
      </c>
      <c r="T101" s="72">
        <v>129.5</v>
      </c>
      <c r="U101" s="72">
        <v>129.19999999999999</v>
      </c>
      <c r="V101" s="72">
        <v>131.19999999999999</v>
      </c>
      <c r="W101" s="72">
        <v>130.6</v>
      </c>
      <c r="X101" s="72">
        <v>131.4</v>
      </c>
      <c r="Y101" s="72">
        <v>131</v>
      </c>
      <c r="Z101" s="72">
        <v>131.19999999999999</v>
      </c>
      <c r="AA101" s="72">
        <v>130.6</v>
      </c>
      <c r="AB101" s="72">
        <v>131.80000000000001</v>
      </c>
      <c r="AC101" s="72">
        <v>131.80000000000001</v>
      </c>
      <c r="AD101" s="72">
        <v>131.6</v>
      </c>
      <c r="AE101" s="72">
        <v>133.1</v>
      </c>
      <c r="AF101" s="72">
        <v>131.6</v>
      </c>
      <c r="AG101" s="111"/>
      <c r="AH101" s="52">
        <f t="shared" si="12"/>
        <v>133.1</v>
      </c>
      <c r="AI101" s="53">
        <f t="shared" si="13"/>
        <v>128.5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132</v>
      </c>
      <c r="C102" s="72">
        <v>132</v>
      </c>
      <c r="D102" s="72">
        <v>132</v>
      </c>
      <c r="E102" s="72">
        <v>132</v>
      </c>
      <c r="F102" s="72">
        <v>132</v>
      </c>
      <c r="G102" s="72">
        <v>132</v>
      </c>
      <c r="H102" s="72">
        <v>132</v>
      </c>
      <c r="I102" s="72">
        <v>129.80000000000001</v>
      </c>
      <c r="J102" s="72">
        <v>132</v>
      </c>
      <c r="K102" s="72">
        <v>129.19999999999999</v>
      </c>
      <c r="L102" s="72">
        <v>127.3</v>
      </c>
      <c r="M102" s="72">
        <v>127</v>
      </c>
      <c r="N102" s="72">
        <v>127</v>
      </c>
      <c r="O102" s="72">
        <v>126</v>
      </c>
      <c r="P102" s="72">
        <v>126</v>
      </c>
      <c r="Q102" s="72">
        <v>126</v>
      </c>
      <c r="R102" s="72">
        <v>124</v>
      </c>
      <c r="S102" s="72">
        <v>123.6</v>
      </c>
      <c r="T102" s="72">
        <v>128.69999999999999</v>
      </c>
      <c r="U102" s="72">
        <v>127.5</v>
      </c>
      <c r="V102" s="72">
        <v>129.19999999999999</v>
      </c>
      <c r="W102" s="72">
        <v>128.30000000000001</v>
      </c>
      <c r="X102" s="72">
        <v>131</v>
      </c>
      <c r="Y102" s="72">
        <v>126.7</v>
      </c>
      <c r="Z102" s="72">
        <v>124.5</v>
      </c>
      <c r="AA102" s="72">
        <v>126.9</v>
      </c>
      <c r="AB102" s="72">
        <v>127.9</v>
      </c>
      <c r="AC102" s="72">
        <v>127.9</v>
      </c>
      <c r="AD102" s="72">
        <v>128.69999999999999</v>
      </c>
      <c r="AE102" s="72">
        <v>130.69999999999999</v>
      </c>
      <c r="AF102" s="72">
        <v>129</v>
      </c>
      <c r="AG102" s="111"/>
      <c r="AH102" s="52">
        <f t="shared" si="12"/>
        <v>132</v>
      </c>
      <c r="AI102" s="53">
        <f t="shared" si="13"/>
        <v>123.6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2"/>
        <v>0</v>
      </c>
      <c r="AI103" s="53">
        <f t="shared" si="13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131</v>
      </c>
      <c r="C104" s="113">
        <v>131</v>
      </c>
      <c r="D104" s="113">
        <v>133</v>
      </c>
      <c r="E104" s="113">
        <v>133</v>
      </c>
      <c r="F104" s="113">
        <v>133</v>
      </c>
      <c r="G104" s="113">
        <v>133</v>
      </c>
      <c r="H104" s="113">
        <v>133</v>
      </c>
      <c r="I104" s="113">
        <v>132.9</v>
      </c>
      <c r="J104" s="113">
        <v>133</v>
      </c>
      <c r="K104" s="113">
        <v>133.9</v>
      </c>
      <c r="L104" s="113">
        <v>133.6</v>
      </c>
      <c r="M104" s="113">
        <v>129.69999999999999</v>
      </c>
      <c r="N104" s="113">
        <v>129.69999999999999</v>
      </c>
      <c r="O104" s="113">
        <v>132.19999999999999</v>
      </c>
      <c r="P104" s="113">
        <v>132.19999999999999</v>
      </c>
      <c r="Q104" s="113">
        <v>132.19999999999999</v>
      </c>
      <c r="R104" s="113">
        <v>134</v>
      </c>
      <c r="S104" s="113">
        <v>134</v>
      </c>
      <c r="T104" s="113">
        <v>136.30000000000001</v>
      </c>
      <c r="U104" s="113">
        <v>133.5</v>
      </c>
      <c r="V104" s="113">
        <v>136.19999999999999</v>
      </c>
      <c r="W104" s="113">
        <v>133.6</v>
      </c>
      <c r="X104" s="113">
        <v>135.30000000000001</v>
      </c>
      <c r="Y104" s="113">
        <v>135.19999999999999</v>
      </c>
      <c r="Z104" s="113">
        <v>136.19999999999999</v>
      </c>
      <c r="AA104" s="113">
        <v>134.69999999999999</v>
      </c>
      <c r="AB104" s="113">
        <v>133.6</v>
      </c>
      <c r="AC104" s="113">
        <v>133.6</v>
      </c>
      <c r="AD104" s="113">
        <v>132.5</v>
      </c>
      <c r="AE104" s="113">
        <v>133.80000000000001</v>
      </c>
      <c r="AF104" s="113">
        <v>132.9</v>
      </c>
      <c r="AG104" s="114"/>
      <c r="AH104" s="52">
        <f t="shared" si="12"/>
        <v>136.30000000000001</v>
      </c>
      <c r="AI104" s="53">
        <f t="shared" si="13"/>
        <v>129.69999999999999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111"/>
      <c r="AH105" s="52">
        <f t="shared" si="12"/>
        <v>0</v>
      </c>
      <c r="AI105" s="53">
        <f t="shared" si="13"/>
        <v>0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66.7</v>
      </c>
      <c r="C106" s="99">
        <v>66.7</v>
      </c>
      <c r="D106" s="99">
        <v>67</v>
      </c>
      <c r="E106" s="99">
        <v>67</v>
      </c>
      <c r="F106" s="99">
        <v>67</v>
      </c>
      <c r="G106" s="99">
        <v>67</v>
      </c>
      <c r="H106" s="99">
        <v>67</v>
      </c>
      <c r="I106" s="99">
        <v>65.5</v>
      </c>
      <c r="J106" s="99">
        <v>67</v>
      </c>
      <c r="K106" s="99">
        <v>65.2</v>
      </c>
      <c r="L106" s="99">
        <v>65.2</v>
      </c>
      <c r="M106" s="99">
        <v>64.8</v>
      </c>
      <c r="N106" s="99">
        <v>64.8</v>
      </c>
      <c r="O106" s="99">
        <v>64.8</v>
      </c>
      <c r="P106" s="99">
        <v>64.8</v>
      </c>
      <c r="Q106" s="99">
        <v>64.8</v>
      </c>
      <c r="R106" s="99">
        <v>64.8</v>
      </c>
      <c r="S106" s="99">
        <v>64.7</v>
      </c>
      <c r="T106" s="99">
        <v>65.099999999999994</v>
      </c>
      <c r="U106" s="99">
        <v>65.099999999999994</v>
      </c>
      <c r="V106" s="99">
        <v>65.7</v>
      </c>
      <c r="W106" s="99">
        <v>65.5</v>
      </c>
      <c r="X106" s="99">
        <v>65.8</v>
      </c>
      <c r="Y106" s="99">
        <v>65.7</v>
      </c>
      <c r="Z106" s="99">
        <v>65.7</v>
      </c>
      <c r="AA106" s="99">
        <v>65.400000000000006</v>
      </c>
      <c r="AB106" s="99">
        <v>66.2</v>
      </c>
      <c r="AC106" s="99">
        <v>66.2</v>
      </c>
      <c r="AD106" s="99">
        <v>66</v>
      </c>
      <c r="AE106" s="99">
        <v>66.599999999999994</v>
      </c>
      <c r="AF106" s="99">
        <v>66.2</v>
      </c>
      <c r="AG106" s="115"/>
      <c r="AH106" s="52">
        <f t="shared" si="12"/>
        <v>67</v>
      </c>
      <c r="AI106" s="53">
        <f t="shared" si="13"/>
        <v>64.7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2"/>
        <v>0</v>
      </c>
      <c r="AI107" s="53">
        <f t="shared" si="13"/>
        <v>0</v>
      </c>
    </row>
    <row r="108" spans="1:88" ht="15.75" thickBot="1" x14ac:dyDescent="0.3">
      <c r="A108" s="117" t="s">
        <v>116</v>
      </c>
      <c r="B108" s="118">
        <f t="shared" ref="B108:AF108" si="24">SUM(B18,B24,B27:B28,B56,B58:B59,B61,B63,B109:B113,B135,B141,B147,B156,B158,B170,B177,B180:B181,B188,B190,B192,B196:B198,B200:B202,B207,B213:B214,B216:B218,B226,B231)</f>
        <v>117</v>
      </c>
      <c r="C108" s="118">
        <f t="shared" si="24"/>
        <v>117.94</v>
      </c>
      <c r="D108" s="118">
        <f t="shared" si="24"/>
        <v>114.94</v>
      </c>
      <c r="E108" s="118">
        <f t="shared" si="24"/>
        <v>112.94</v>
      </c>
      <c r="F108" s="118">
        <f t="shared" ref="F108:L108" si="25">SUM(F18,F24,F27:F28,F56,F58:F59,F61,F63,F109:F113,F135,F141,F147,F156,F158,F170,F177,F180:F181,F188,F190,F192,F196:F198,F200:F202,F207,F213:F214,F216:F218,F226,F231)</f>
        <v>112.94</v>
      </c>
      <c r="G108" s="118">
        <f t="shared" si="25"/>
        <v>112.94</v>
      </c>
      <c r="H108" s="118">
        <f t="shared" si="25"/>
        <v>112.94</v>
      </c>
      <c r="I108" s="118">
        <f t="shared" si="25"/>
        <v>185.54</v>
      </c>
      <c r="J108" s="118">
        <f t="shared" si="25"/>
        <v>201.24</v>
      </c>
      <c r="K108" s="118">
        <f t="shared" si="25"/>
        <v>191.73999999999998</v>
      </c>
      <c r="L108" s="118">
        <f t="shared" si="25"/>
        <v>187.14</v>
      </c>
      <c r="M108" s="118">
        <f t="shared" si="24"/>
        <v>276.33999999999997</v>
      </c>
      <c r="N108" s="118">
        <f t="shared" si="24"/>
        <v>268.24</v>
      </c>
      <c r="O108" s="118">
        <f t="shared" si="24"/>
        <v>271.64000000000004</v>
      </c>
      <c r="P108" s="118">
        <v>42</v>
      </c>
      <c r="Q108" s="118">
        <f t="shared" si="24"/>
        <v>254.2</v>
      </c>
      <c r="R108" s="118">
        <f t="shared" si="24"/>
        <v>249.7</v>
      </c>
      <c r="S108" s="118">
        <f t="shared" si="24"/>
        <v>265.8</v>
      </c>
      <c r="T108" s="118">
        <f t="shared" si="24"/>
        <v>257.39999999999998</v>
      </c>
      <c r="U108" s="118">
        <f t="shared" si="24"/>
        <v>263.7</v>
      </c>
      <c r="V108" s="118">
        <f t="shared" si="24"/>
        <v>258.89999999999998</v>
      </c>
      <c r="W108" s="118">
        <f t="shared" si="24"/>
        <v>258.7</v>
      </c>
      <c r="X108" s="118">
        <f t="shared" si="24"/>
        <v>267.3</v>
      </c>
      <c r="Y108" s="118">
        <f t="shared" si="24"/>
        <v>291.60000000000002</v>
      </c>
      <c r="Z108" s="118">
        <f t="shared" si="24"/>
        <v>341.8</v>
      </c>
      <c r="AA108" s="118">
        <f t="shared" si="24"/>
        <v>343.6</v>
      </c>
      <c r="AB108" s="118">
        <f t="shared" si="24"/>
        <v>269.5</v>
      </c>
      <c r="AC108" s="118">
        <f t="shared" si="24"/>
        <v>269.8</v>
      </c>
      <c r="AD108" s="118">
        <f t="shared" si="24"/>
        <v>244.8</v>
      </c>
      <c r="AE108" s="118">
        <f t="shared" si="24"/>
        <v>191.4</v>
      </c>
      <c r="AF108" s="118">
        <f t="shared" si="24"/>
        <v>138.89999999999998</v>
      </c>
      <c r="AG108" s="119"/>
      <c r="AH108" s="52">
        <f t="shared" si="12"/>
        <v>343.6</v>
      </c>
      <c r="AI108" s="53">
        <f t="shared" si="13"/>
        <v>42</v>
      </c>
    </row>
    <row r="109" spans="1:88" x14ac:dyDescent="0.25">
      <c r="A109" s="107" t="s">
        <v>117</v>
      </c>
      <c r="B109" s="120">
        <v>-25</v>
      </c>
      <c r="C109" s="120">
        <v>-25</v>
      </c>
      <c r="D109" s="120">
        <v>-25</v>
      </c>
      <c r="E109" s="120">
        <v>-26</v>
      </c>
      <c r="F109" s="120">
        <v>-26</v>
      </c>
      <c r="G109" s="120">
        <v>-26</v>
      </c>
      <c r="H109" s="120">
        <v>-26</v>
      </c>
      <c r="I109" s="120">
        <v>-8.9</v>
      </c>
      <c r="J109" s="120">
        <v>-18.7</v>
      </c>
      <c r="K109" s="120">
        <v>-18</v>
      </c>
      <c r="L109" s="120">
        <v>-22.2</v>
      </c>
      <c r="M109" s="120">
        <v>9</v>
      </c>
      <c r="N109" s="120">
        <v>-4.4000000000000004</v>
      </c>
      <c r="O109" s="120">
        <v>-3.1</v>
      </c>
      <c r="P109" s="120">
        <v>4.5</v>
      </c>
      <c r="Q109" s="120">
        <v>14.2</v>
      </c>
      <c r="R109" s="120">
        <v>13.7</v>
      </c>
      <c r="S109" s="120">
        <v>8.8000000000000007</v>
      </c>
      <c r="T109" s="120">
        <v>8.3000000000000007</v>
      </c>
      <c r="U109" s="120">
        <v>6.7</v>
      </c>
      <c r="V109" s="120">
        <v>7.3</v>
      </c>
      <c r="W109" s="120">
        <v>-3.2</v>
      </c>
      <c r="X109" s="120">
        <v>2.2000000000000002</v>
      </c>
      <c r="Y109" s="120">
        <v>4.3</v>
      </c>
      <c r="Z109" s="120">
        <v>17.8</v>
      </c>
      <c r="AA109" s="120">
        <v>14.1</v>
      </c>
      <c r="AB109" s="120">
        <v>2</v>
      </c>
      <c r="AC109" s="120">
        <v>2</v>
      </c>
      <c r="AD109" s="120">
        <v>-4.5999999999999996</v>
      </c>
      <c r="AE109" s="120">
        <v>-10.1</v>
      </c>
      <c r="AF109" s="120">
        <v>-20.7</v>
      </c>
      <c r="AG109" s="121">
        <v>75</v>
      </c>
      <c r="AH109" s="52">
        <f t="shared" si="12"/>
        <v>17.8</v>
      </c>
      <c r="AI109" s="53">
        <f t="shared" si="13"/>
        <v>-26</v>
      </c>
    </row>
    <row r="110" spans="1:88" x14ac:dyDescent="0.25">
      <c r="A110" s="110" t="s">
        <v>118</v>
      </c>
      <c r="B110" s="122">
        <v>-18</v>
      </c>
      <c r="C110" s="122">
        <v>-18</v>
      </c>
      <c r="D110" s="122">
        <v>-17</v>
      </c>
      <c r="E110" s="122">
        <v>-17</v>
      </c>
      <c r="F110" s="122">
        <v>-17</v>
      </c>
      <c r="G110" s="122">
        <v>-17</v>
      </c>
      <c r="H110" s="122">
        <v>-17</v>
      </c>
      <c r="I110" s="122">
        <v>-9.1</v>
      </c>
      <c r="J110" s="122">
        <v>-17</v>
      </c>
      <c r="K110" s="122">
        <v>-20.100000000000001</v>
      </c>
      <c r="L110" s="122">
        <v>-23.9</v>
      </c>
      <c r="M110" s="122">
        <v>6.5</v>
      </c>
      <c r="N110" s="122">
        <v>-11.3</v>
      </c>
      <c r="O110" s="122">
        <v>-9</v>
      </c>
      <c r="P110" s="122">
        <v>10</v>
      </c>
      <c r="Q110" s="122">
        <v>21.6</v>
      </c>
      <c r="R110" s="122">
        <v>22</v>
      </c>
      <c r="S110" s="122">
        <v>15.1</v>
      </c>
      <c r="T110" s="122">
        <v>13.1</v>
      </c>
      <c r="U110" s="122">
        <v>10.1</v>
      </c>
      <c r="V110" s="122">
        <v>5.2</v>
      </c>
      <c r="W110" s="122">
        <v>-10.7</v>
      </c>
      <c r="X110" s="122">
        <v>-3.2</v>
      </c>
      <c r="Y110" s="122">
        <v>0</v>
      </c>
      <c r="Z110" s="122">
        <v>16.100000000000001</v>
      </c>
      <c r="AA110" s="122">
        <v>11.3</v>
      </c>
      <c r="AB110" s="122">
        <v>-3</v>
      </c>
      <c r="AC110" s="122">
        <v>-3</v>
      </c>
      <c r="AD110" s="122">
        <v>-10.1</v>
      </c>
      <c r="AE110" s="122">
        <v>-16.5</v>
      </c>
      <c r="AF110" s="122">
        <v>-27</v>
      </c>
      <c r="AG110" s="121">
        <v>240</v>
      </c>
      <c r="AH110" s="52">
        <f t="shared" si="12"/>
        <v>22</v>
      </c>
      <c r="AI110" s="53">
        <f t="shared" si="13"/>
        <v>-27</v>
      </c>
    </row>
    <row r="111" spans="1:88" x14ac:dyDescent="0.25">
      <c r="A111" s="110" t="s">
        <v>119</v>
      </c>
      <c r="B111" s="122">
        <v>-38</v>
      </c>
      <c r="C111" s="122">
        <v>-38</v>
      </c>
      <c r="D111" s="122">
        <v>-38</v>
      </c>
      <c r="E111" s="122">
        <v>-38</v>
      </c>
      <c r="F111" s="122">
        <v>-38</v>
      </c>
      <c r="G111" s="122">
        <v>-38</v>
      </c>
      <c r="H111" s="122">
        <v>-38</v>
      </c>
      <c r="I111" s="122">
        <f>-17.4-0</f>
        <v>-17.399999999999999</v>
      </c>
      <c r="J111" s="122">
        <v>17</v>
      </c>
      <c r="K111" s="122">
        <f>-7.4+11.4</f>
        <v>4</v>
      </c>
      <c r="L111" s="122">
        <f>-5.1+12.4</f>
        <v>7.3000000000000007</v>
      </c>
      <c r="M111" s="122">
        <v>30.3</v>
      </c>
      <c r="N111" s="122">
        <v>37</v>
      </c>
      <c r="O111" s="122">
        <v>31.7</v>
      </c>
      <c r="P111" s="122">
        <v>10</v>
      </c>
      <c r="Q111" s="122">
        <v>-11</v>
      </c>
      <c r="R111" s="122">
        <v>-13.8</v>
      </c>
      <c r="S111" s="122">
        <v>-8</v>
      </c>
      <c r="T111" s="122">
        <v>-12</v>
      </c>
      <c r="U111" s="122">
        <v>-2</v>
      </c>
      <c r="V111" s="122">
        <v>15</v>
      </c>
      <c r="W111" s="122">
        <v>30</v>
      </c>
      <c r="X111" s="122">
        <v>36</v>
      </c>
      <c r="Y111" s="122">
        <v>44</v>
      </c>
      <c r="Z111" s="122">
        <v>60</v>
      </c>
      <c r="AA111" s="122">
        <v>66</v>
      </c>
      <c r="AB111" s="122">
        <f>17.6+10.3</f>
        <v>27.900000000000002</v>
      </c>
      <c r="AC111" s="122">
        <f>17.6+10.3</f>
        <v>27.900000000000002</v>
      </c>
      <c r="AD111" s="122">
        <f>14.8+7.3</f>
        <v>22.1</v>
      </c>
      <c r="AE111" s="122">
        <f>2.4-6</f>
        <v>-3.6</v>
      </c>
      <c r="AF111" s="122">
        <f>-19.6-10</f>
        <v>-29.6</v>
      </c>
      <c r="AG111" s="121">
        <v>240</v>
      </c>
      <c r="AH111" s="52">
        <f t="shared" si="12"/>
        <v>66</v>
      </c>
      <c r="AI111" s="53">
        <f t="shared" si="13"/>
        <v>-38</v>
      </c>
    </row>
    <row r="112" spans="1:88" x14ac:dyDescent="0.25">
      <c r="A112" s="110" t="s">
        <v>120</v>
      </c>
      <c r="B112" s="122">
        <v>16</v>
      </c>
      <c r="C112" s="122">
        <v>16</v>
      </c>
      <c r="D112" s="122">
        <v>19</v>
      </c>
      <c r="E112" s="122">
        <v>18</v>
      </c>
      <c r="F112" s="122">
        <v>18</v>
      </c>
      <c r="G112" s="122">
        <v>18</v>
      </c>
      <c r="H112" s="122">
        <v>18</v>
      </c>
      <c r="I112" s="122">
        <v>29.9</v>
      </c>
      <c r="J112" s="122">
        <v>24</v>
      </c>
      <c r="K112" s="122">
        <v>34.799999999999997</v>
      </c>
      <c r="L112" s="122">
        <v>40.200000000000003</v>
      </c>
      <c r="M112" s="122">
        <v>49.4</v>
      </c>
      <c r="N112" s="122">
        <v>40.700000000000003</v>
      </c>
      <c r="O112" s="122">
        <v>47.5</v>
      </c>
      <c r="P112" s="122">
        <v>44</v>
      </c>
      <c r="Q112" s="122">
        <v>38.700000000000003</v>
      </c>
      <c r="R112" s="122">
        <v>37.6</v>
      </c>
      <c r="S112" s="122">
        <v>39</v>
      </c>
      <c r="T112" s="122">
        <v>40</v>
      </c>
      <c r="U112" s="122">
        <v>38.6</v>
      </c>
      <c r="V112" s="122">
        <v>44</v>
      </c>
      <c r="W112" s="122">
        <v>46</v>
      </c>
      <c r="X112" s="122">
        <v>50.3</v>
      </c>
      <c r="Y112" s="122">
        <v>51</v>
      </c>
      <c r="Z112" s="122">
        <v>55</v>
      </c>
      <c r="AA112" s="122">
        <v>57.3</v>
      </c>
      <c r="AB112" s="122">
        <v>51.6</v>
      </c>
      <c r="AC112" s="122">
        <v>51.6</v>
      </c>
      <c r="AD112" s="122">
        <v>47.5</v>
      </c>
      <c r="AE112" s="122">
        <v>40.200000000000003</v>
      </c>
      <c r="AF112" s="122">
        <v>31.6</v>
      </c>
      <c r="AG112" s="121">
        <v>60</v>
      </c>
      <c r="AH112" s="52">
        <f t="shared" si="12"/>
        <v>57.3</v>
      </c>
      <c r="AI112" s="53">
        <f t="shared" si="13"/>
        <v>16</v>
      </c>
    </row>
    <row r="113" spans="1:37" x14ac:dyDescent="0.25">
      <c r="A113" s="123" t="s">
        <v>121</v>
      </c>
      <c r="B113" s="124">
        <v>97</v>
      </c>
      <c r="C113" s="124">
        <v>97</v>
      </c>
      <c r="D113" s="124">
        <v>90</v>
      </c>
      <c r="E113" s="124">
        <v>90</v>
      </c>
      <c r="F113" s="124">
        <v>90</v>
      </c>
      <c r="G113" s="124">
        <v>90</v>
      </c>
      <c r="H113" s="124">
        <v>90</v>
      </c>
      <c r="I113" s="124">
        <v>105.1</v>
      </c>
      <c r="J113" s="124">
        <v>110</v>
      </c>
      <c r="K113" s="124">
        <v>105.1</v>
      </c>
      <c r="L113" s="124">
        <v>99.8</v>
      </c>
      <c r="M113" s="124">
        <v>99.2</v>
      </c>
      <c r="N113" s="124">
        <v>119.3</v>
      </c>
      <c r="O113" s="124">
        <v>109.6</v>
      </c>
      <c r="P113" s="124">
        <v>99</v>
      </c>
      <c r="Q113" s="124">
        <v>96.7</v>
      </c>
      <c r="R113" s="124">
        <v>96.2</v>
      </c>
      <c r="S113" s="124">
        <v>115</v>
      </c>
      <c r="T113" s="124">
        <v>109</v>
      </c>
      <c r="U113" s="124">
        <v>118.3</v>
      </c>
      <c r="V113" s="124">
        <v>104</v>
      </c>
      <c r="W113" s="124">
        <v>116</v>
      </c>
      <c r="X113" s="124">
        <v>102</v>
      </c>
      <c r="Y113" s="124">
        <v>110</v>
      </c>
      <c r="Z113" s="124">
        <v>112</v>
      </c>
      <c r="AA113" s="124">
        <v>114</v>
      </c>
      <c r="AB113" s="124">
        <v>109.5</v>
      </c>
      <c r="AC113" s="124">
        <v>109.5</v>
      </c>
      <c r="AD113" s="124">
        <v>107.8</v>
      </c>
      <c r="AE113" s="124">
        <v>98.1</v>
      </c>
      <c r="AF113" s="124">
        <v>101.3</v>
      </c>
      <c r="AG113" s="125">
        <v>120</v>
      </c>
      <c r="AH113" s="52">
        <f t="shared" si="12"/>
        <v>119.3</v>
      </c>
      <c r="AI113" s="53">
        <f t="shared" si="13"/>
        <v>90</v>
      </c>
    </row>
    <row r="114" spans="1:37" x14ac:dyDescent="0.25">
      <c r="A114" s="123" t="s">
        <v>122</v>
      </c>
      <c r="B114" s="124">
        <v>107</v>
      </c>
      <c r="C114" s="124">
        <v>107</v>
      </c>
      <c r="D114" s="124">
        <v>95</v>
      </c>
      <c r="E114" s="124">
        <v>95</v>
      </c>
      <c r="F114" s="124">
        <v>95</v>
      </c>
      <c r="G114" s="124">
        <v>98</v>
      </c>
      <c r="H114" s="124">
        <v>84</v>
      </c>
      <c r="I114" s="124">
        <v>85.7</v>
      </c>
      <c r="J114" s="124">
        <v>95</v>
      </c>
      <c r="K114" s="124">
        <v>82.5</v>
      </c>
      <c r="L114" s="124">
        <v>76.3</v>
      </c>
      <c r="M114" s="124">
        <v>79.2</v>
      </c>
      <c r="N114" s="124">
        <v>92.5</v>
      </c>
      <c r="O114" s="124">
        <v>89.5</v>
      </c>
      <c r="P114" s="124">
        <v>95</v>
      </c>
      <c r="Q114" s="124">
        <v>101.6</v>
      </c>
      <c r="R114" s="124">
        <v>95.4</v>
      </c>
      <c r="S114" s="124">
        <v>105</v>
      </c>
      <c r="T114" s="124">
        <v>105</v>
      </c>
      <c r="U114" s="124">
        <v>111</v>
      </c>
      <c r="V114" s="124">
        <v>90</v>
      </c>
      <c r="W114" s="124">
        <v>98</v>
      </c>
      <c r="X114" s="124">
        <v>81</v>
      </c>
      <c r="Y114" s="124">
        <v>81</v>
      </c>
      <c r="Z114" s="124">
        <v>98</v>
      </c>
      <c r="AA114" s="124">
        <v>102</v>
      </c>
      <c r="AB114" s="124">
        <v>87.1</v>
      </c>
      <c r="AC114" s="124">
        <v>87.1</v>
      </c>
      <c r="AD114" s="124">
        <v>89.1</v>
      </c>
      <c r="AE114" s="124">
        <v>94.2</v>
      </c>
      <c r="AF114" s="124">
        <v>108.4</v>
      </c>
      <c r="AG114" s="125"/>
      <c r="AH114" s="52">
        <f t="shared" si="12"/>
        <v>111</v>
      </c>
      <c r="AI114" s="53">
        <f t="shared" si="13"/>
        <v>76.3</v>
      </c>
    </row>
    <row r="115" spans="1:37" x14ac:dyDescent="0.25">
      <c r="A115" s="123" t="s">
        <v>123</v>
      </c>
      <c r="B115" s="124">
        <v>92</v>
      </c>
      <c r="C115" s="124">
        <v>92</v>
      </c>
      <c r="D115" s="124">
        <v>95</v>
      </c>
      <c r="E115" s="124">
        <v>94</v>
      </c>
      <c r="F115" s="124">
        <v>94</v>
      </c>
      <c r="G115" s="124">
        <v>94</v>
      </c>
      <c r="H115" s="124">
        <v>94</v>
      </c>
      <c r="I115" s="124">
        <v>94</v>
      </c>
      <c r="J115" s="124">
        <v>94</v>
      </c>
      <c r="K115" s="124">
        <v>94</v>
      </c>
      <c r="L115" s="124">
        <v>94</v>
      </c>
      <c r="M115" s="124">
        <v>37.299999999999997</v>
      </c>
      <c r="N115" s="124">
        <v>42</v>
      </c>
      <c r="O115" s="124">
        <v>34.4</v>
      </c>
      <c r="P115" s="124"/>
      <c r="Q115" s="124"/>
      <c r="R115" s="124">
        <v>31</v>
      </c>
      <c r="S115" s="124"/>
      <c r="T115" s="124">
        <v>35</v>
      </c>
      <c r="U115" s="124">
        <v>40.1</v>
      </c>
      <c r="V115" s="124"/>
      <c r="W115" s="124">
        <v>31.5</v>
      </c>
      <c r="X115" s="124">
        <v>28</v>
      </c>
      <c r="Y115" s="124"/>
      <c r="Z115" s="124"/>
      <c r="AA115" s="124">
        <v>29.2</v>
      </c>
      <c r="AB115" s="124"/>
      <c r="AC115" s="124"/>
      <c r="AD115" s="124"/>
      <c r="AE115" s="124"/>
      <c r="AF115" s="124"/>
      <c r="AG115" s="126"/>
      <c r="AH115" s="52">
        <f t="shared" si="12"/>
        <v>95</v>
      </c>
      <c r="AI115" s="53">
        <f t="shared" si="13"/>
        <v>28</v>
      </c>
    </row>
    <row r="116" spans="1:37" x14ac:dyDescent="0.25">
      <c r="A116" s="127" t="s">
        <v>124</v>
      </c>
      <c r="B116" s="113">
        <v>-5</v>
      </c>
      <c r="C116" s="113">
        <v>-5</v>
      </c>
      <c r="D116" s="113">
        <v>-3</v>
      </c>
      <c r="E116" s="113">
        <v>-2.5</v>
      </c>
      <c r="F116" s="113">
        <v>-2.5</v>
      </c>
      <c r="G116" s="113">
        <v>-2.5</v>
      </c>
      <c r="H116" s="113">
        <v>-2.5</v>
      </c>
      <c r="I116" s="113">
        <v>-17.32</v>
      </c>
      <c r="J116" s="113">
        <v>-12.5</v>
      </c>
      <c r="K116" s="113">
        <v>-21.8</v>
      </c>
      <c r="L116" s="113">
        <v>-24.9</v>
      </c>
      <c r="M116" s="113">
        <v>26.6</v>
      </c>
      <c r="N116" s="113">
        <v>-24.8</v>
      </c>
      <c r="O116" s="113">
        <v>-26.5</v>
      </c>
      <c r="P116" s="113">
        <v>-26.5</v>
      </c>
      <c r="Q116" s="113">
        <v>-26</v>
      </c>
      <c r="R116" s="113">
        <v>-25.74</v>
      </c>
      <c r="S116" s="113">
        <v>-25</v>
      </c>
      <c r="T116" s="113">
        <v>-25</v>
      </c>
      <c r="U116" s="113">
        <v>-18.100000000000001</v>
      </c>
      <c r="V116" s="113">
        <v>-20</v>
      </c>
      <c r="W116" s="113">
        <v>-17.2</v>
      </c>
      <c r="X116" s="113">
        <v>-19</v>
      </c>
      <c r="Y116" s="113">
        <v>-24</v>
      </c>
      <c r="Z116" s="113">
        <v>-44</v>
      </c>
      <c r="AA116" s="113">
        <v>-39</v>
      </c>
      <c r="AB116" s="113">
        <v>-31.2</v>
      </c>
      <c r="AC116" s="113">
        <v>-31.2</v>
      </c>
      <c r="AD116" s="113">
        <v>-27.7</v>
      </c>
      <c r="AE116" s="113">
        <v>0.5</v>
      </c>
      <c r="AF116" s="113">
        <v>0</v>
      </c>
      <c r="AG116" s="126"/>
      <c r="AH116" s="52">
        <f t="shared" si="12"/>
        <v>26.6</v>
      </c>
      <c r="AI116" s="53">
        <f t="shared" si="13"/>
        <v>-44</v>
      </c>
    </row>
    <row r="117" spans="1:37" ht="15.75" thickBot="1" x14ac:dyDescent="0.3">
      <c r="A117" s="127" t="s">
        <v>125</v>
      </c>
      <c r="B117" s="113">
        <v>81</v>
      </c>
      <c r="C117" s="113">
        <v>81</v>
      </c>
      <c r="D117" s="113">
        <v>80</v>
      </c>
      <c r="E117" s="113">
        <v>75</v>
      </c>
      <c r="F117" s="113">
        <v>75</v>
      </c>
      <c r="G117" s="113">
        <v>75</v>
      </c>
      <c r="H117" s="113">
        <v>75</v>
      </c>
      <c r="I117" s="113">
        <v>83</v>
      </c>
      <c r="J117" s="113">
        <v>75</v>
      </c>
      <c r="K117" s="113">
        <v>78.599999999999994</v>
      </c>
      <c r="L117" s="113">
        <v>89.7</v>
      </c>
      <c r="M117" s="113">
        <v>92.1</v>
      </c>
      <c r="N117" s="113">
        <v>93</v>
      </c>
      <c r="O117" s="113">
        <v>106.5</v>
      </c>
      <c r="P117" s="113">
        <v>101</v>
      </c>
      <c r="Q117" s="113">
        <v>95.4</v>
      </c>
      <c r="R117" s="113">
        <v>95.5</v>
      </c>
      <c r="S117" s="113">
        <v>107</v>
      </c>
      <c r="T117" s="113">
        <v>102</v>
      </c>
      <c r="U117" s="113">
        <v>108</v>
      </c>
      <c r="V117" s="113">
        <v>109</v>
      </c>
      <c r="W117" s="113">
        <v>102</v>
      </c>
      <c r="X117" s="113">
        <v>96</v>
      </c>
      <c r="Y117" s="113">
        <v>103</v>
      </c>
      <c r="Z117" s="113">
        <v>124</v>
      </c>
      <c r="AA117" s="113">
        <v>111</v>
      </c>
      <c r="AB117" s="113">
        <v>115</v>
      </c>
      <c r="AC117" s="113">
        <v>115</v>
      </c>
      <c r="AD117" s="113">
        <v>114.2</v>
      </c>
      <c r="AE117" s="113">
        <v>100.2</v>
      </c>
      <c r="AF117" s="113">
        <v>101.7</v>
      </c>
      <c r="AG117" s="126"/>
      <c r="AH117" s="52">
        <f t="shared" si="12"/>
        <v>124</v>
      </c>
      <c r="AI117" s="53">
        <f t="shared" si="13"/>
        <v>75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85" t="s">
        <v>269</v>
      </c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26">SUM(B119:B223)</f>
        <v>0</v>
      </c>
      <c r="C224" s="144">
        <f t="shared" si="26"/>
        <v>0</v>
      </c>
      <c r="D224" s="144">
        <f t="shared" si="26"/>
        <v>0</v>
      </c>
      <c r="E224" s="144">
        <f t="shared" si="26"/>
        <v>0</v>
      </c>
      <c r="F224" s="144">
        <f t="shared" si="26"/>
        <v>0</v>
      </c>
      <c r="G224" s="144">
        <f t="shared" si="26"/>
        <v>0</v>
      </c>
      <c r="H224" s="144">
        <f t="shared" si="26"/>
        <v>0</v>
      </c>
      <c r="I224" s="144">
        <f t="shared" si="26"/>
        <v>0</v>
      </c>
      <c r="J224" s="144">
        <f t="shared" si="26"/>
        <v>0</v>
      </c>
      <c r="K224" s="144">
        <f t="shared" si="26"/>
        <v>0</v>
      </c>
      <c r="L224" s="144">
        <f t="shared" si="26"/>
        <v>0</v>
      </c>
      <c r="M224" s="144">
        <f t="shared" si="26"/>
        <v>0</v>
      </c>
      <c r="N224" s="144">
        <f t="shared" si="26"/>
        <v>0</v>
      </c>
      <c r="O224" s="144">
        <f t="shared" si="26"/>
        <v>0</v>
      </c>
      <c r="P224" s="144">
        <f t="shared" si="26"/>
        <v>0</v>
      </c>
      <c r="Q224" s="144">
        <f t="shared" si="26"/>
        <v>0</v>
      </c>
      <c r="R224" s="144">
        <f t="shared" si="26"/>
        <v>0</v>
      </c>
      <c r="S224" s="144">
        <f t="shared" si="26"/>
        <v>0</v>
      </c>
      <c r="T224" s="144">
        <f t="shared" si="26"/>
        <v>0</v>
      </c>
      <c r="U224" s="144">
        <f t="shared" si="26"/>
        <v>0</v>
      </c>
      <c r="V224" s="144">
        <f t="shared" si="26"/>
        <v>0</v>
      </c>
      <c r="W224" s="144">
        <f t="shared" si="26"/>
        <v>0</v>
      </c>
      <c r="X224" s="144">
        <f t="shared" si="26"/>
        <v>0</v>
      </c>
      <c r="Y224" s="144">
        <f t="shared" si="26"/>
        <v>0</v>
      </c>
      <c r="Z224" s="144">
        <f t="shared" si="26"/>
        <v>0</v>
      </c>
      <c r="AA224" s="144">
        <f t="shared" si="26"/>
        <v>0</v>
      </c>
      <c r="AB224" s="144">
        <f t="shared" si="26"/>
        <v>0</v>
      </c>
      <c r="AC224" s="144">
        <f t="shared" si="26"/>
        <v>0</v>
      </c>
      <c r="AD224" s="144">
        <f t="shared" si="26"/>
        <v>0</v>
      </c>
      <c r="AE224" s="144">
        <f t="shared" si="26"/>
        <v>0</v>
      </c>
      <c r="AF224" s="145">
        <f t="shared" si="26"/>
        <v>0</v>
      </c>
      <c r="AG224" s="146">
        <f t="shared" si="26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27">AF226</f>
        <v>0</v>
      </c>
      <c r="C226" s="149">
        <v>0.3</v>
      </c>
      <c r="D226" s="149">
        <f t="shared" ref="D226:P231" si="28">C226</f>
        <v>0.3</v>
      </c>
      <c r="E226" s="149">
        <f t="shared" si="28"/>
        <v>0.3</v>
      </c>
      <c r="F226" s="149">
        <f t="shared" si="28"/>
        <v>0.3</v>
      </c>
      <c r="G226" s="149">
        <f t="shared" si="28"/>
        <v>0.3</v>
      </c>
      <c r="H226" s="149">
        <f t="shared" si="28"/>
        <v>0.3</v>
      </c>
      <c r="I226" s="149">
        <f t="shared" si="28"/>
        <v>0.3</v>
      </c>
      <c r="J226" s="149">
        <f t="shared" si="28"/>
        <v>0.3</v>
      </c>
      <c r="K226" s="149">
        <f t="shared" si="28"/>
        <v>0.3</v>
      </c>
      <c r="L226" s="149">
        <f t="shared" si="28"/>
        <v>0.3</v>
      </c>
      <c r="M226" s="149">
        <f t="shared" si="28"/>
        <v>0.3</v>
      </c>
      <c r="N226" s="149">
        <f t="shared" si="28"/>
        <v>0.3</v>
      </c>
      <c r="O226" s="149">
        <f t="shared" si="28"/>
        <v>0.3</v>
      </c>
      <c r="P226" s="149">
        <f t="shared" si="28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27"/>
        <v>0</v>
      </c>
      <c r="C227" s="136">
        <v>0.4</v>
      </c>
      <c r="D227" s="136">
        <f t="shared" si="28"/>
        <v>0.4</v>
      </c>
      <c r="E227" s="136">
        <f t="shared" si="28"/>
        <v>0.4</v>
      </c>
      <c r="F227" s="136">
        <f t="shared" si="28"/>
        <v>0.4</v>
      </c>
      <c r="G227" s="136">
        <f t="shared" si="28"/>
        <v>0.4</v>
      </c>
      <c r="H227" s="136">
        <f t="shared" si="28"/>
        <v>0.4</v>
      </c>
      <c r="I227" s="136">
        <f t="shared" si="28"/>
        <v>0.4</v>
      </c>
      <c r="J227" s="136">
        <f t="shared" si="28"/>
        <v>0.4</v>
      </c>
      <c r="K227" s="136">
        <f t="shared" si="28"/>
        <v>0.4</v>
      </c>
      <c r="L227" s="136">
        <f t="shared" si="28"/>
        <v>0.4</v>
      </c>
      <c r="M227" s="136">
        <f t="shared" si="28"/>
        <v>0.4</v>
      </c>
      <c r="N227" s="136">
        <f t="shared" si="28"/>
        <v>0.4</v>
      </c>
      <c r="O227" s="136">
        <f t="shared" si="28"/>
        <v>0.4</v>
      </c>
      <c r="P227" s="136">
        <f t="shared" si="28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27"/>
        <v>0</v>
      </c>
      <c r="C228" s="136">
        <v>1.5</v>
      </c>
      <c r="D228" s="136">
        <f t="shared" si="28"/>
        <v>1.5</v>
      </c>
      <c r="E228" s="136">
        <f t="shared" si="28"/>
        <v>1.5</v>
      </c>
      <c r="F228" s="136">
        <f t="shared" si="28"/>
        <v>1.5</v>
      </c>
      <c r="G228" s="136">
        <f t="shared" si="28"/>
        <v>1.5</v>
      </c>
      <c r="H228" s="136">
        <f t="shared" si="28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28"/>
        <v>1.5</v>
      </c>
      <c r="K228" s="136">
        <f t="shared" ca="1" si="28"/>
        <v>1.5</v>
      </c>
      <c r="L228" s="136">
        <f t="shared" ca="1" si="28"/>
        <v>1.5</v>
      </c>
      <c r="M228" s="136">
        <f t="shared" ca="1" si="28"/>
        <v>1.5</v>
      </c>
      <c r="N228" s="136">
        <f t="shared" ca="1" si="28"/>
        <v>1.5</v>
      </c>
      <c r="O228" s="136">
        <f t="shared" ca="1" si="28"/>
        <v>1.5</v>
      </c>
      <c r="P228" s="136">
        <f t="shared" ca="1" si="28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27"/>
        <v>0</v>
      </c>
      <c r="C229" s="136">
        <v>0.3</v>
      </c>
      <c r="D229" s="136">
        <f t="shared" si="28"/>
        <v>0.3</v>
      </c>
      <c r="E229" s="136">
        <f t="shared" si="28"/>
        <v>0.3</v>
      </c>
      <c r="F229" s="136">
        <f t="shared" si="28"/>
        <v>0.3</v>
      </c>
      <c r="G229" s="136">
        <f t="shared" si="28"/>
        <v>0.3</v>
      </c>
      <c r="H229" s="136">
        <f t="shared" si="28"/>
        <v>0.3</v>
      </c>
      <c r="I229" s="136">
        <f t="shared" si="28"/>
        <v>0.3</v>
      </c>
      <c r="J229" s="136">
        <f t="shared" si="28"/>
        <v>0.3</v>
      </c>
      <c r="K229" s="136">
        <f t="shared" si="28"/>
        <v>0.3</v>
      </c>
      <c r="L229" s="136">
        <f t="shared" si="28"/>
        <v>0.3</v>
      </c>
      <c r="M229" s="136">
        <f t="shared" si="28"/>
        <v>0.3</v>
      </c>
      <c r="N229" s="136">
        <f t="shared" si="28"/>
        <v>0.3</v>
      </c>
      <c r="O229" s="136">
        <f t="shared" si="28"/>
        <v>0.3</v>
      </c>
      <c r="P229" s="136">
        <f t="shared" si="28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27"/>
        <v>0</v>
      </c>
      <c r="C230" s="136">
        <v>0.4</v>
      </c>
      <c r="D230" s="136">
        <f t="shared" si="28"/>
        <v>0.4</v>
      </c>
      <c r="E230" s="136">
        <f t="shared" si="28"/>
        <v>0.4</v>
      </c>
      <c r="F230" s="136">
        <f t="shared" si="28"/>
        <v>0.4</v>
      </c>
      <c r="G230" s="136">
        <f t="shared" si="28"/>
        <v>0.4</v>
      </c>
      <c r="H230" s="136">
        <f t="shared" si="28"/>
        <v>0.4</v>
      </c>
      <c r="I230" s="136">
        <f t="shared" si="28"/>
        <v>0.4</v>
      </c>
      <c r="J230" s="136">
        <f t="shared" si="28"/>
        <v>0.4</v>
      </c>
      <c r="K230" s="136">
        <f t="shared" si="28"/>
        <v>0.4</v>
      </c>
      <c r="L230" s="136">
        <f t="shared" si="28"/>
        <v>0.4</v>
      </c>
      <c r="M230" s="136">
        <f t="shared" si="28"/>
        <v>0.4</v>
      </c>
      <c r="N230" s="136">
        <f t="shared" si="28"/>
        <v>0.4</v>
      </c>
      <c r="O230" s="136">
        <f t="shared" si="28"/>
        <v>0.4</v>
      </c>
      <c r="P230" s="136">
        <f t="shared" si="28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27"/>
        <v>0</v>
      </c>
      <c r="C231" s="140">
        <v>0.64</v>
      </c>
      <c r="D231" s="140">
        <f t="shared" si="28"/>
        <v>0.64</v>
      </c>
      <c r="E231" s="140">
        <f t="shared" si="28"/>
        <v>0.64</v>
      </c>
      <c r="F231" s="140">
        <f t="shared" si="28"/>
        <v>0.64</v>
      </c>
      <c r="G231" s="140">
        <f t="shared" si="28"/>
        <v>0.64</v>
      </c>
      <c r="H231" s="140">
        <f t="shared" si="28"/>
        <v>0.64</v>
      </c>
      <c r="I231" s="140">
        <f t="shared" si="28"/>
        <v>0.64</v>
      </c>
      <c r="J231" s="140">
        <f t="shared" si="28"/>
        <v>0.64</v>
      </c>
      <c r="K231" s="140">
        <f t="shared" si="28"/>
        <v>0.64</v>
      </c>
      <c r="L231" s="140">
        <f t="shared" si="28"/>
        <v>0.64</v>
      </c>
      <c r="M231" s="140">
        <f t="shared" si="28"/>
        <v>0.64</v>
      </c>
      <c r="N231" s="140">
        <f t="shared" si="28"/>
        <v>0.64</v>
      </c>
      <c r="O231" s="140">
        <f t="shared" si="28"/>
        <v>0.64</v>
      </c>
      <c r="P231" s="140">
        <f t="shared" si="28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29">SUM(B226:B231)</f>
        <v>0</v>
      </c>
      <c r="C232" s="144">
        <f t="shared" si="29"/>
        <v>3.54</v>
      </c>
      <c r="D232" s="144">
        <f t="shared" si="29"/>
        <v>3.54</v>
      </c>
      <c r="E232" s="144">
        <f t="shared" si="29"/>
        <v>3.54</v>
      </c>
      <c r="F232" s="144">
        <f t="shared" si="29"/>
        <v>3.54</v>
      </c>
      <c r="G232" s="144">
        <f t="shared" si="29"/>
        <v>3.54</v>
      </c>
      <c r="H232" s="144">
        <f t="shared" si="29"/>
        <v>3.54</v>
      </c>
      <c r="I232" s="144">
        <f t="shared" ca="1" si="29"/>
        <v>3.54</v>
      </c>
      <c r="J232" s="144">
        <f t="shared" ca="1" si="29"/>
        <v>3.54</v>
      </c>
      <c r="K232" s="144">
        <f t="shared" ca="1" si="29"/>
        <v>3.54</v>
      </c>
      <c r="L232" s="144">
        <f t="shared" ca="1" si="29"/>
        <v>3.54</v>
      </c>
      <c r="M232" s="144">
        <f t="shared" ca="1" si="29"/>
        <v>3.54</v>
      </c>
      <c r="N232" s="144">
        <f t="shared" ca="1" si="29"/>
        <v>3.54</v>
      </c>
      <c r="O232" s="144">
        <f t="shared" ca="1" si="29"/>
        <v>3.54</v>
      </c>
      <c r="P232" s="144">
        <f t="shared" ca="1" si="29"/>
        <v>3.54</v>
      </c>
      <c r="Q232" s="144">
        <f t="shared" si="29"/>
        <v>0</v>
      </c>
      <c r="R232" s="144">
        <f t="shared" si="29"/>
        <v>0</v>
      </c>
      <c r="S232" s="144">
        <f t="shared" si="29"/>
        <v>0</v>
      </c>
      <c r="T232" s="144">
        <f t="shared" si="29"/>
        <v>0</v>
      </c>
      <c r="U232" s="144">
        <f t="shared" si="29"/>
        <v>0</v>
      </c>
      <c r="V232" s="144">
        <f t="shared" si="29"/>
        <v>0</v>
      </c>
      <c r="W232" s="144">
        <f t="shared" si="29"/>
        <v>0</v>
      </c>
      <c r="X232" s="144">
        <f t="shared" si="29"/>
        <v>0</v>
      </c>
      <c r="Y232" s="144">
        <f t="shared" si="29"/>
        <v>0</v>
      </c>
      <c r="Z232" s="144">
        <f t="shared" si="29"/>
        <v>0</v>
      </c>
      <c r="AA232" s="144">
        <f t="shared" si="29"/>
        <v>0</v>
      </c>
      <c r="AB232" s="144">
        <f t="shared" si="29"/>
        <v>0</v>
      </c>
      <c r="AC232" s="144">
        <f t="shared" si="29"/>
        <v>0</v>
      </c>
      <c r="AD232" s="144">
        <f t="shared" si="29"/>
        <v>0</v>
      </c>
      <c r="AE232" s="144">
        <f t="shared" si="29"/>
        <v>0</v>
      </c>
      <c r="AF232" s="144">
        <f t="shared" si="29"/>
        <v>0</v>
      </c>
      <c r="AG232" s="154">
        <f t="shared" si="29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1489.6399999999999</v>
      </c>
      <c r="C241" s="170">
        <f>INDEX(G9:N9,1,MATCH(MAX(G89:N89),G89:N89,0))</f>
        <v>0.3125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12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2079/12/12)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2079/12/12)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30">B89</f>
        <v>1243.6399999999999</v>
      </c>
      <c r="U246" s="180">
        <f t="shared" si="30"/>
        <v>1193.6399999999999</v>
      </c>
      <c r="V246" s="180">
        <f t="shared" si="30"/>
        <v>1185.6399999999999</v>
      </c>
      <c r="W246" s="180">
        <f t="shared" si="30"/>
        <v>1178.6399999999999</v>
      </c>
      <c r="X246" s="180">
        <f t="shared" si="30"/>
        <v>1158.6399999999999</v>
      </c>
      <c r="Y246" s="180">
        <f t="shared" si="30"/>
        <v>1182.6399999999999</v>
      </c>
      <c r="Z246" s="180">
        <f t="shared" si="30"/>
        <v>1275.6399999999999</v>
      </c>
      <c r="AA246" s="180">
        <f t="shared" si="30"/>
        <v>1318.6399999999999</v>
      </c>
      <c r="AB246" s="180">
        <f t="shared" si="30"/>
        <v>1353.6399999999999</v>
      </c>
      <c r="AC246" s="180">
        <f t="shared" si="30"/>
        <v>1481.6399999999999</v>
      </c>
      <c r="AD246" s="180">
        <f t="shared" si="30"/>
        <v>1489.6399999999999</v>
      </c>
      <c r="AE246" s="180">
        <f t="shared" si="30"/>
        <v>1478.44</v>
      </c>
      <c r="AF246" s="180">
        <f t="shared" si="30"/>
        <v>1439.2399999999998</v>
      </c>
      <c r="AG246" s="180">
        <f t="shared" si="30"/>
        <v>1482.34</v>
      </c>
      <c r="AH246" s="180">
        <f t="shared" si="30"/>
        <v>1486.9399999999998</v>
      </c>
      <c r="AI246" s="180">
        <f t="shared" si="30"/>
        <v>1469.6399999999999</v>
      </c>
      <c r="AJ246" s="180">
        <f t="shared" si="30"/>
        <v>1482.24</v>
      </c>
      <c r="AK246" s="180">
        <f t="shared" si="30"/>
        <v>1530.84</v>
      </c>
      <c r="AL246" s="180">
        <f t="shared" si="30"/>
        <v>1514.6399999999999</v>
      </c>
      <c r="AM246" s="180">
        <f t="shared" si="30"/>
        <v>1624.74</v>
      </c>
      <c r="AN246" s="180">
        <f t="shared" si="30"/>
        <v>1510.4399999999998</v>
      </c>
      <c r="AO246" s="180">
        <f t="shared" si="30"/>
        <v>1464.1399999999999</v>
      </c>
      <c r="AP246" s="180">
        <f t="shared" si="30"/>
        <v>1473.1399999999999</v>
      </c>
      <c r="AQ246" s="180">
        <f t="shared" si="30"/>
        <v>1494.04</v>
      </c>
      <c r="AR246" s="180">
        <f t="shared" si="30"/>
        <v>1689.1399999999999</v>
      </c>
      <c r="AS246" s="180">
        <f t="shared" si="30"/>
        <v>1666.44</v>
      </c>
      <c r="AT246" s="180">
        <f t="shared" si="30"/>
        <v>1587.8400000000001</v>
      </c>
      <c r="AU246" s="180">
        <f t="shared" si="30"/>
        <v>1573.6399999999999</v>
      </c>
      <c r="AV246" s="180">
        <f t="shared" si="30"/>
        <v>1538.7399999999998</v>
      </c>
      <c r="AW246" s="180">
        <f t="shared" si="30"/>
        <v>1271.1399999999999</v>
      </c>
      <c r="AX246" s="180">
        <f t="shared" si="30"/>
        <v>1341.24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31">C231</f>
        <v>0.64</v>
      </c>
      <c r="C267" s="183">
        <f t="shared" si="31"/>
        <v>0.64</v>
      </c>
      <c r="D267" s="183">
        <f t="shared" si="31"/>
        <v>0.64</v>
      </c>
      <c r="E267" s="183">
        <f t="shared" si="31"/>
        <v>0.64</v>
      </c>
      <c r="F267" s="183">
        <f t="shared" si="31"/>
        <v>0.64</v>
      </c>
      <c r="G267" s="183">
        <f t="shared" si="31"/>
        <v>0.64</v>
      </c>
      <c r="H267" s="183">
        <f t="shared" si="31"/>
        <v>0.64</v>
      </c>
      <c r="I267" s="183">
        <f t="shared" si="31"/>
        <v>0.64</v>
      </c>
      <c r="J267" s="183">
        <f t="shared" si="31"/>
        <v>0.64</v>
      </c>
      <c r="K267" s="183">
        <f t="shared" si="31"/>
        <v>0.64</v>
      </c>
      <c r="L267" s="183">
        <f t="shared" si="31"/>
        <v>0.64</v>
      </c>
      <c r="M267" s="183">
        <f t="shared" si="31"/>
        <v>0.64</v>
      </c>
      <c r="N267" s="183">
        <f t="shared" si="31"/>
        <v>0.64</v>
      </c>
      <c r="O267" s="183">
        <f t="shared" si="31"/>
        <v>0.64</v>
      </c>
      <c r="P267" s="183">
        <f t="shared" si="31"/>
        <v>0</v>
      </c>
      <c r="Q267" s="183">
        <f t="shared" si="31"/>
        <v>0</v>
      </c>
      <c r="R267" s="183">
        <f t="shared" si="31"/>
        <v>0</v>
      </c>
      <c r="S267" s="183">
        <f t="shared" si="31"/>
        <v>0</v>
      </c>
      <c r="T267" s="183">
        <f t="shared" si="31"/>
        <v>0</v>
      </c>
      <c r="U267" s="183">
        <f t="shared" si="31"/>
        <v>0</v>
      </c>
      <c r="V267" s="183">
        <f t="shared" si="31"/>
        <v>0</v>
      </c>
      <c r="W267" s="183">
        <f t="shared" si="31"/>
        <v>0</v>
      </c>
      <c r="X267" s="183">
        <f t="shared" si="31"/>
        <v>0</v>
      </c>
      <c r="Y267" s="183">
        <f t="shared" si="31"/>
        <v>0</v>
      </c>
      <c r="Z267" s="183">
        <f t="shared" si="31"/>
        <v>0</v>
      </c>
      <c r="AA267" s="183">
        <f t="shared" si="31"/>
        <v>0</v>
      </c>
      <c r="AB267" s="183">
        <f t="shared" si="31"/>
        <v>0</v>
      </c>
      <c r="AC267" s="183">
        <f t="shared" si="31"/>
        <v>0</v>
      </c>
      <c r="AD267" s="183">
        <f t="shared" si="31"/>
        <v>0</v>
      </c>
      <c r="AE267" s="183">
        <f t="shared" si="31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32">IF(B235&lt;100,"",B235-520)</f>
        <v/>
      </c>
      <c r="C268" s="184" t="str">
        <f t="shared" si="32"/>
        <v/>
      </c>
      <c r="D268" s="184" t="str">
        <f t="shared" si="32"/>
        <v/>
      </c>
      <c r="E268" s="184" t="str">
        <f t="shared" si="32"/>
        <v/>
      </c>
      <c r="F268" s="184" t="str">
        <f t="shared" si="32"/>
        <v/>
      </c>
      <c r="G268" s="184" t="str">
        <f t="shared" si="32"/>
        <v/>
      </c>
      <c r="H268" s="184" t="str">
        <f t="shared" si="32"/>
        <v/>
      </c>
      <c r="I268" s="184" t="str">
        <f t="shared" si="32"/>
        <v/>
      </c>
      <c r="J268" s="184" t="str">
        <f t="shared" si="32"/>
        <v/>
      </c>
      <c r="K268" s="184" t="str">
        <f t="shared" si="32"/>
        <v/>
      </c>
      <c r="L268" s="184" t="str">
        <f t="shared" si="32"/>
        <v/>
      </c>
      <c r="M268" s="184" t="str">
        <f t="shared" si="32"/>
        <v/>
      </c>
      <c r="N268" s="184" t="str">
        <f t="shared" si="32"/>
        <v/>
      </c>
      <c r="O268" s="184" t="str">
        <f t="shared" si="32"/>
        <v/>
      </c>
      <c r="P268" s="184" t="str">
        <f t="shared" si="32"/>
        <v/>
      </c>
      <c r="Q268" s="184" t="str">
        <f t="shared" si="32"/>
        <v/>
      </c>
      <c r="R268" s="184" t="str">
        <f t="shared" si="32"/>
        <v/>
      </c>
      <c r="S268" s="184" t="str">
        <f t="shared" si="32"/>
        <v/>
      </c>
      <c r="T268" s="184" t="str">
        <f t="shared" si="32"/>
        <v/>
      </c>
      <c r="U268" s="184" t="str">
        <f t="shared" si="32"/>
        <v/>
      </c>
      <c r="V268" s="184" t="str">
        <f t="shared" si="32"/>
        <v/>
      </c>
      <c r="W268" s="184" t="str">
        <f t="shared" si="32"/>
        <v/>
      </c>
      <c r="X268" s="184" t="str">
        <f t="shared" si="32"/>
        <v/>
      </c>
      <c r="Y268" s="184" t="str">
        <f t="shared" si="32"/>
        <v/>
      </c>
      <c r="Z268" s="184" t="str">
        <f t="shared" si="32"/>
        <v/>
      </c>
      <c r="AA268" s="184" t="str">
        <f t="shared" si="32"/>
        <v/>
      </c>
      <c r="AB268" s="184" t="str">
        <f t="shared" si="32"/>
        <v/>
      </c>
      <c r="AC268" s="184" t="str">
        <f t="shared" si="32"/>
        <v/>
      </c>
      <c r="AD268" s="184" t="str">
        <f t="shared" si="32"/>
        <v/>
      </c>
      <c r="AE268" s="184" t="str">
        <f t="shared" si="32"/>
        <v/>
      </c>
      <c r="AF268" s="184" t="str">
        <f t="shared" si="32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33">IF(B236&lt;100,"",B236-620)</f>
        <v/>
      </c>
      <c r="C269" s="184" t="str">
        <f t="shared" si="33"/>
        <v/>
      </c>
      <c r="D269" s="184" t="str">
        <f t="shared" si="33"/>
        <v/>
      </c>
      <c r="E269" s="184" t="str">
        <f t="shared" si="33"/>
        <v/>
      </c>
      <c r="F269" s="184" t="str">
        <f t="shared" si="33"/>
        <v/>
      </c>
      <c r="G269" s="184" t="str">
        <f t="shared" si="33"/>
        <v/>
      </c>
      <c r="H269" s="184" t="str">
        <f t="shared" si="33"/>
        <v/>
      </c>
      <c r="I269" s="184" t="str">
        <f t="shared" si="33"/>
        <v/>
      </c>
      <c r="J269" s="184" t="str">
        <f t="shared" si="33"/>
        <v/>
      </c>
      <c r="K269" s="184" t="str">
        <f t="shared" si="33"/>
        <v/>
      </c>
      <c r="L269" s="184" t="str">
        <f t="shared" si="33"/>
        <v/>
      </c>
      <c r="M269" s="184" t="str">
        <f t="shared" si="33"/>
        <v/>
      </c>
      <c r="N269" s="184" t="str">
        <f t="shared" si="33"/>
        <v/>
      </c>
      <c r="O269" s="184" t="str">
        <f t="shared" si="33"/>
        <v/>
      </c>
      <c r="P269" s="184" t="str">
        <f t="shared" si="33"/>
        <v/>
      </c>
      <c r="Q269" s="184" t="str">
        <f t="shared" si="33"/>
        <v/>
      </c>
      <c r="R269" s="184" t="str">
        <f t="shared" si="33"/>
        <v/>
      </c>
      <c r="S269" s="184" t="str">
        <f t="shared" si="33"/>
        <v/>
      </c>
      <c r="T269" s="184" t="str">
        <f t="shared" si="33"/>
        <v/>
      </c>
      <c r="U269" s="184" t="str">
        <f t="shared" si="33"/>
        <v/>
      </c>
      <c r="V269" s="184" t="str">
        <f t="shared" si="33"/>
        <v/>
      </c>
      <c r="W269" s="184" t="str">
        <f t="shared" si="33"/>
        <v/>
      </c>
      <c r="X269" s="184" t="str">
        <f t="shared" si="33"/>
        <v/>
      </c>
      <c r="Y269" s="184" t="str">
        <f t="shared" si="33"/>
        <v/>
      </c>
      <c r="Z269" s="184" t="str">
        <f t="shared" si="33"/>
        <v/>
      </c>
      <c r="AA269" s="184" t="str">
        <f t="shared" si="33"/>
        <v/>
      </c>
      <c r="AB269" s="184" t="str">
        <f t="shared" si="33"/>
        <v/>
      </c>
      <c r="AC269" s="184" t="str">
        <f t="shared" si="33"/>
        <v/>
      </c>
      <c r="AD269" s="184" t="str">
        <f t="shared" si="33"/>
        <v/>
      </c>
      <c r="AE269" s="184" t="str">
        <f t="shared" si="33"/>
        <v/>
      </c>
      <c r="AF269" s="184" t="str">
        <f t="shared" si="33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34">IF(B237&lt;100,"",B237-330)</f>
        <v/>
      </c>
      <c r="C270" s="184" t="str">
        <f t="shared" si="34"/>
        <v/>
      </c>
      <c r="D270" s="184" t="str">
        <f t="shared" si="34"/>
        <v/>
      </c>
      <c r="E270" s="184" t="str">
        <f t="shared" si="34"/>
        <v/>
      </c>
      <c r="F270" s="184" t="str">
        <f t="shared" si="34"/>
        <v/>
      </c>
      <c r="G270" s="184" t="str">
        <f t="shared" si="34"/>
        <v/>
      </c>
      <c r="H270" s="184" t="str">
        <f t="shared" si="34"/>
        <v/>
      </c>
      <c r="I270" s="184" t="str">
        <f t="shared" si="34"/>
        <v/>
      </c>
      <c r="J270" s="184" t="str">
        <f t="shared" si="34"/>
        <v/>
      </c>
      <c r="K270" s="184" t="str">
        <f t="shared" si="34"/>
        <v/>
      </c>
      <c r="L270" s="184" t="str">
        <f t="shared" si="34"/>
        <v/>
      </c>
      <c r="M270" s="184" t="str">
        <f t="shared" si="34"/>
        <v/>
      </c>
      <c r="N270" s="184" t="str">
        <f t="shared" si="34"/>
        <v/>
      </c>
      <c r="O270" s="184" t="str">
        <f t="shared" si="34"/>
        <v/>
      </c>
      <c r="P270" s="184" t="str">
        <f t="shared" si="34"/>
        <v/>
      </c>
      <c r="Q270" s="184" t="str">
        <f t="shared" si="34"/>
        <v/>
      </c>
      <c r="R270" s="184" t="str">
        <f t="shared" si="34"/>
        <v/>
      </c>
      <c r="S270" s="184" t="str">
        <f t="shared" si="34"/>
        <v/>
      </c>
      <c r="T270" s="184" t="str">
        <f t="shared" si="34"/>
        <v/>
      </c>
      <c r="U270" s="184" t="str">
        <f t="shared" si="34"/>
        <v/>
      </c>
      <c r="V270" s="184" t="str">
        <f t="shared" si="34"/>
        <v/>
      </c>
      <c r="W270" s="184" t="str">
        <f t="shared" si="34"/>
        <v/>
      </c>
      <c r="X270" s="184" t="str">
        <f t="shared" si="34"/>
        <v/>
      </c>
      <c r="Y270" s="184" t="str">
        <f t="shared" si="34"/>
        <v/>
      </c>
      <c r="Z270" s="184" t="str">
        <f t="shared" si="34"/>
        <v/>
      </c>
      <c r="AA270" s="184" t="str">
        <f t="shared" si="34"/>
        <v/>
      </c>
      <c r="AB270" s="184" t="str">
        <f t="shared" si="34"/>
        <v/>
      </c>
      <c r="AC270" s="184" t="str">
        <f t="shared" si="34"/>
        <v/>
      </c>
      <c r="AD270" s="184" t="str">
        <f t="shared" si="34"/>
        <v/>
      </c>
      <c r="AE270" s="184" t="str">
        <f t="shared" si="34"/>
        <v/>
      </c>
      <c r="AF270" s="184" t="str">
        <f t="shared" si="34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35">IF(B238&lt;100,"",B238-1500)</f>
        <v/>
      </c>
      <c r="C271" s="184" t="str">
        <f t="shared" si="35"/>
        <v/>
      </c>
      <c r="D271" s="184" t="str">
        <f t="shared" si="35"/>
        <v/>
      </c>
      <c r="E271" s="184" t="str">
        <f t="shared" si="35"/>
        <v/>
      </c>
      <c r="F271" s="184" t="str">
        <f t="shared" si="35"/>
        <v/>
      </c>
      <c r="G271" s="184" t="str">
        <f t="shared" si="35"/>
        <v/>
      </c>
      <c r="H271" s="184" t="str">
        <f t="shared" si="35"/>
        <v/>
      </c>
      <c r="I271" s="184" t="str">
        <f t="shared" si="35"/>
        <v/>
      </c>
      <c r="J271" s="184" t="str">
        <f t="shared" si="35"/>
        <v/>
      </c>
      <c r="K271" s="184" t="str">
        <f t="shared" si="35"/>
        <v/>
      </c>
      <c r="L271" s="184" t="str">
        <f t="shared" si="35"/>
        <v/>
      </c>
      <c r="M271" s="184" t="str">
        <f t="shared" si="35"/>
        <v/>
      </c>
      <c r="N271" s="184" t="str">
        <f t="shared" si="35"/>
        <v/>
      </c>
      <c r="O271" s="184" t="str">
        <f t="shared" si="35"/>
        <v/>
      </c>
      <c r="P271" s="184" t="str">
        <f t="shared" si="35"/>
        <v/>
      </c>
      <c r="Q271" s="184" t="str">
        <f t="shared" si="35"/>
        <v/>
      </c>
      <c r="R271" s="184" t="str">
        <f t="shared" si="35"/>
        <v/>
      </c>
      <c r="S271" s="184" t="str">
        <f t="shared" si="35"/>
        <v/>
      </c>
      <c r="T271" s="184" t="str">
        <f t="shared" si="35"/>
        <v/>
      </c>
      <c r="U271" s="184" t="str">
        <f t="shared" si="35"/>
        <v/>
      </c>
      <c r="V271" s="184" t="str">
        <f t="shared" si="35"/>
        <v/>
      </c>
      <c r="W271" s="184" t="str">
        <f t="shared" si="35"/>
        <v/>
      </c>
      <c r="X271" s="184" t="str">
        <f t="shared" si="35"/>
        <v/>
      </c>
      <c r="Y271" s="184" t="str">
        <f t="shared" si="35"/>
        <v/>
      </c>
      <c r="Z271" s="184" t="str">
        <f t="shared" si="35"/>
        <v/>
      </c>
      <c r="AA271" s="184" t="str">
        <f t="shared" si="35"/>
        <v/>
      </c>
      <c r="AB271" s="184" t="str">
        <f t="shared" si="35"/>
        <v/>
      </c>
      <c r="AC271" s="184" t="str">
        <f t="shared" si="35"/>
        <v/>
      </c>
      <c r="AD271" s="184" t="str">
        <f t="shared" si="35"/>
        <v/>
      </c>
      <c r="AE271" s="184" t="str">
        <f t="shared" si="35"/>
        <v/>
      </c>
      <c r="AF271" s="184" t="str">
        <f t="shared" si="35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E111:AF116 E109:AF109">
    <cfRule type="expression" dxfId="5886" priority="339">
      <formula>B$9&gt;=20/24</formula>
    </cfRule>
    <cfRule type="expression" dxfId="5885" priority="340">
      <formula>AND(B$9&gt;=14/24,B$9&lt;20/24)</formula>
    </cfRule>
    <cfRule type="expression" dxfId="5884" priority="341">
      <formula>AND(B$9&gt;=8/24,B$9&lt;14/24)</formula>
    </cfRule>
    <cfRule type="expression" dxfId="5883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5882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5881" priority="336">
      <formula>$AH12=0</formula>
    </cfRule>
  </conditionalFormatting>
  <conditionalFormatting sqref="A114">
    <cfRule type="expression" dxfId="5880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5879" priority="333">
      <formula>$AH45=0</formula>
    </cfRule>
  </conditionalFormatting>
  <conditionalFormatting sqref="A98">
    <cfRule type="expression" dxfId="5878" priority="332">
      <formula>$AH98=0</formula>
    </cfRule>
  </conditionalFormatting>
  <conditionalFormatting sqref="A18">
    <cfRule type="expression" dxfId="5877" priority="331">
      <formula>$AH18=0</formula>
    </cfRule>
  </conditionalFormatting>
  <conditionalFormatting sqref="A196:A201">
    <cfRule type="expression" dxfId="5876" priority="330">
      <formula>$AH196=0</formula>
    </cfRule>
  </conditionalFormatting>
  <conditionalFormatting sqref="A190:A195">
    <cfRule type="expression" dxfId="5875" priority="329">
      <formula>$AH190=0</formula>
    </cfRule>
  </conditionalFormatting>
  <conditionalFormatting sqref="A58">
    <cfRule type="expression" dxfId="5874" priority="328">
      <formula>$AH58=0</formula>
    </cfRule>
  </conditionalFormatting>
  <conditionalFormatting sqref="A94">
    <cfRule type="expression" dxfId="5873" priority="327">
      <formula>$AH94=0</formula>
    </cfRule>
  </conditionalFormatting>
  <conditionalFormatting sqref="AD99:AF99 E99:X99">
    <cfRule type="expression" dxfId="5872" priority="323">
      <formula>E$9&gt;=20/24</formula>
    </cfRule>
    <cfRule type="expression" dxfId="5871" priority="324">
      <formula>AND(E$9&gt;=14/24,E$9&lt;20/24)</formula>
    </cfRule>
    <cfRule type="expression" dxfId="5870" priority="325">
      <formula>AND(E$9&gt;=8/24,E$9&lt;14/24)</formula>
    </cfRule>
    <cfRule type="expression" dxfId="5869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868" priority="345">
      <formula>C$9&gt;=20/24</formula>
    </cfRule>
    <cfRule type="expression" dxfId="5867" priority="346">
      <formula>AND(C$9&gt;=14/24,C$9&lt;20/24)</formula>
    </cfRule>
    <cfRule type="expression" dxfId="5866" priority="347">
      <formula>AND(C$9&gt;=8/24,C$9&lt;14/24)</formula>
    </cfRule>
    <cfRule type="expression" dxfId="5865" priority="348">
      <formula>C$9&lt;8/24</formula>
    </cfRule>
  </conditionalFormatting>
  <conditionalFormatting sqref="A233">
    <cfRule type="expression" dxfId="5864" priority="349">
      <formula>$AH233=0</formula>
    </cfRule>
  </conditionalFormatting>
  <conditionalFormatting sqref="AG245">
    <cfRule type="expression" dxfId="5863" priority="350">
      <formula>B$9&gt;=20/24</formula>
    </cfRule>
    <cfRule type="expression" dxfId="5862" priority="351">
      <formula>AND(B$9&gt;=14/24,B$9&lt;20/24)</formula>
    </cfRule>
    <cfRule type="expression" dxfId="5861" priority="352">
      <formula>AND(B$9&gt;=8/24,B$9&lt;14/24)</formula>
    </cfRule>
    <cfRule type="expression" dxfId="5860" priority="353">
      <formula>B$9&lt;8/24</formula>
    </cfRule>
  </conditionalFormatting>
  <conditionalFormatting sqref="S8">
    <cfRule type="expression" dxfId="5859" priority="318">
      <formula>U$9&gt;=20/24</formula>
    </cfRule>
    <cfRule type="expression" dxfId="5858" priority="319">
      <formula>AND(U$9&gt;=14/24,U$9&lt;20/24)</formula>
    </cfRule>
    <cfRule type="expression" dxfId="5857" priority="320">
      <formula>AND(U$9&gt;=8/24,U$9&lt;14/24)</formula>
    </cfRule>
    <cfRule type="expression" dxfId="5856" priority="321">
      <formula>U$9&lt;8/24</formula>
    </cfRule>
  </conditionalFormatting>
  <conditionalFormatting sqref="AB8">
    <cfRule type="expression" dxfId="5855" priority="314">
      <formula>AD$9&gt;=20/24</formula>
    </cfRule>
    <cfRule type="expression" dxfId="5854" priority="315">
      <formula>AND(AD$9&gt;=14/24,AD$9&lt;20/24)</formula>
    </cfRule>
    <cfRule type="expression" dxfId="5853" priority="316">
      <formula>AND(AD$9&gt;=8/24,AD$9&lt;14/24)</formula>
    </cfRule>
    <cfRule type="expression" dxfId="5852" priority="317">
      <formula>AD$9&lt;8/24</formula>
    </cfRule>
  </conditionalFormatting>
  <conditionalFormatting sqref="AH245:AX245">
    <cfRule type="expression" dxfId="5851" priority="354">
      <formula>AG$9&gt;=20/24</formula>
    </cfRule>
    <cfRule type="expression" dxfId="5850" priority="355">
      <formula>AND(AG$9&gt;=14/24,AG$9&lt;20/24)</formula>
    </cfRule>
    <cfRule type="expression" dxfId="5849" priority="356">
      <formula>AND(AG$9&gt;=8/24,AG$9&lt;14/24)</formula>
    </cfRule>
    <cfRule type="expression" dxfId="5848" priority="357">
      <formula>AG$9&lt;8/24</formula>
    </cfRule>
  </conditionalFormatting>
  <conditionalFormatting sqref="T245">
    <cfRule type="expression" dxfId="5847" priority="358">
      <formula>AX$9&gt;=20/24</formula>
    </cfRule>
    <cfRule type="expression" dxfId="5846" priority="359">
      <formula>AND(AX$9&gt;=14/24,AX$9&lt;20/24)</formula>
    </cfRule>
    <cfRule type="expression" dxfId="5845" priority="360">
      <formula>AND(AX$9&gt;=8/24,AX$9&lt;14/24)</formula>
    </cfRule>
    <cfRule type="expression" dxfId="5844" priority="361">
      <formula>AX$9&lt;8/24</formula>
    </cfRule>
  </conditionalFormatting>
  <conditionalFormatting sqref="A115:A116">
    <cfRule type="expression" dxfId="5843" priority="313">
      <formula>$AH115=0</formula>
    </cfRule>
  </conditionalFormatting>
  <conditionalFormatting sqref="M54:Y57 E71:AF71 AB54:AF57">
    <cfRule type="expression" dxfId="5842" priority="309">
      <formula>E$9&gt;=20/24</formula>
    </cfRule>
    <cfRule type="expression" dxfId="5841" priority="310">
      <formula>AND(E$9&gt;=14/24,E$9&lt;20/24)</formula>
    </cfRule>
    <cfRule type="expression" dxfId="5840" priority="311">
      <formula>AND(E$9&gt;=8/24,E$9&lt;14/24)</formula>
    </cfRule>
    <cfRule type="expression" dxfId="5839" priority="312">
      <formula>E$9&lt;8/24</formula>
    </cfRule>
  </conditionalFormatting>
  <conditionalFormatting sqref="M53:Y53 AB53:AF53">
    <cfRule type="expression" dxfId="5838" priority="305">
      <formula>M$9&gt;=20/24</formula>
    </cfRule>
    <cfRule type="expression" dxfId="5837" priority="306">
      <formula>AND(M$9&gt;=14/24,M$9&lt;20/24)</formula>
    </cfRule>
    <cfRule type="expression" dxfId="5836" priority="307">
      <formula>AND(M$9&gt;=8/24,M$9&lt;14/24)</formula>
    </cfRule>
    <cfRule type="expression" dxfId="5835" priority="308">
      <formula>M$9&lt;8/24</formula>
    </cfRule>
  </conditionalFormatting>
  <conditionalFormatting sqref="M53:Y57 AB53:AF57">
    <cfRule type="expression" dxfId="5834" priority="304">
      <formula>M53&gt;$AG53</formula>
    </cfRule>
  </conditionalFormatting>
  <conditionalFormatting sqref="X96:AF96 AD100:AF106 X47:AF47 D86:AF86 M100:X106 M72:Y73 Z72:AF74 Z67:AF69">
    <cfRule type="expression" dxfId="5833" priority="300">
      <formula>D$9&gt;=20/24</formula>
    </cfRule>
    <cfRule type="expression" dxfId="5832" priority="301">
      <formula>AND(D$9&gt;=14/24,D$9&lt;20/24)</formula>
    </cfRule>
    <cfRule type="expression" dxfId="5831" priority="302">
      <formula>AND(D$9&gt;=8/24,D$9&lt;14/24)</formula>
    </cfRule>
    <cfRule type="expression" dxfId="5830" priority="303">
      <formula>D$9&lt;8/24</formula>
    </cfRule>
  </conditionalFormatting>
  <conditionalFormatting sqref="X47:AF47 Z67:AF69">
    <cfRule type="expression" dxfId="5829" priority="299">
      <formula>X47&gt;$AG47</formula>
    </cfRule>
  </conditionalFormatting>
  <conditionalFormatting sqref="Z53:AA58">
    <cfRule type="expression" dxfId="5828" priority="295">
      <formula>Z$9&gt;=20/24</formula>
    </cfRule>
    <cfRule type="expression" dxfId="5827" priority="296">
      <formula>AND(Z$9&gt;=14/24,Z$9&lt;20/24)</formula>
    </cfRule>
    <cfRule type="expression" dxfId="5826" priority="297">
      <formula>AND(Z$9&gt;=8/24,Z$9&lt;14/24)</formula>
    </cfRule>
    <cfRule type="expression" dxfId="5825" priority="298">
      <formula>Z$9&lt;8/24</formula>
    </cfRule>
  </conditionalFormatting>
  <conditionalFormatting sqref="Z53:AA58">
    <cfRule type="expression" dxfId="5824" priority="294">
      <formula>Z53&gt;$AG53</formula>
    </cfRule>
  </conditionalFormatting>
  <conditionalFormatting sqref="C97:AF97 D88:AF88">
    <cfRule type="expression" dxfId="5823" priority="290">
      <formula>C$9&gt;=20/24</formula>
    </cfRule>
    <cfRule type="expression" dxfId="5822" priority="291">
      <formula>AND(C$9&gt;=14/24,C$9&lt;20/24)</formula>
    </cfRule>
    <cfRule type="expression" dxfId="5821" priority="292">
      <formula>AND(C$9&gt;=8/24,C$9&lt;14/24)</formula>
    </cfRule>
    <cfRule type="expression" dxfId="5820" priority="293">
      <formula>C$9&lt;8/24</formula>
    </cfRule>
  </conditionalFormatting>
  <conditionalFormatting sqref="T47:W47">
    <cfRule type="expression" dxfId="5819" priority="286">
      <formula>T$9&gt;=20/24</formula>
    </cfRule>
    <cfRule type="expression" dxfId="5818" priority="287">
      <formula>AND(T$9&gt;=14/24,T$9&lt;20/24)</formula>
    </cfRule>
    <cfRule type="expression" dxfId="5817" priority="288">
      <formula>AND(T$9&gt;=8/24,T$9&lt;14/24)</formula>
    </cfRule>
    <cfRule type="expression" dxfId="5816" priority="289">
      <formula>T$9&lt;8/24</formula>
    </cfRule>
  </conditionalFormatting>
  <conditionalFormatting sqref="T47:W47">
    <cfRule type="expression" dxfId="5815" priority="285">
      <formula>T47&gt;$AG47</formula>
    </cfRule>
  </conditionalFormatting>
  <conditionalFormatting sqref="AG70 AG87">
    <cfRule type="expression" dxfId="5814" priority="272">
      <formula>AG$9&gt;=20/24</formula>
    </cfRule>
    <cfRule type="expression" dxfId="5813" priority="273">
      <formula>AND(AG$9&gt;=14/24,AG$9&lt;20/24)</formula>
    </cfRule>
    <cfRule type="expression" dxfId="5812" priority="274">
      <formula>AND(AG$9&gt;=8/24,AG$9&lt;14/24)</formula>
    </cfRule>
    <cfRule type="expression" dxfId="5811" priority="275">
      <formula>AG$9&lt;8/24</formula>
    </cfRule>
  </conditionalFormatting>
  <conditionalFormatting sqref="AG48 AG66 AG70">
    <cfRule type="expression" dxfId="5810" priority="271">
      <formula>AG48&gt;$AG48</formula>
    </cfRule>
  </conditionalFormatting>
  <conditionalFormatting sqref="AB58:AF58">
    <cfRule type="expression" dxfId="5809" priority="267">
      <formula>AB$9&gt;=20/24</formula>
    </cfRule>
    <cfRule type="expression" dxfId="5808" priority="268">
      <formula>AND(AB$9&gt;=14/24,AB$9&lt;20/24)</formula>
    </cfRule>
    <cfRule type="expression" dxfId="5807" priority="269">
      <formula>AND(AB$9&gt;=8/24,AB$9&lt;14/24)</formula>
    </cfRule>
    <cfRule type="expression" dxfId="5806" priority="270">
      <formula>AB$9&lt;8/24</formula>
    </cfRule>
  </conditionalFormatting>
  <conditionalFormatting sqref="AB58:AF58">
    <cfRule type="expression" dxfId="5805" priority="266">
      <formula>AB58&gt;$AG58</formula>
    </cfRule>
  </conditionalFormatting>
  <conditionalFormatting sqref="A43">
    <cfRule type="expression" dxfId="5804" priority="265">
      <formula>$AH43=0</formula>
    </cfRule>
  </conditionalFormatting>
  <conditionalFormatting sqref="X91:AF95">
    <cfRule type="expression" dxfId="5803" priority="261">
      <formula>X$9&gt;=20/24</formula>
    </cfRule>
    <cfRule type="expression" dxfId="5802" priority="262">
      <formula>AND(X$9&gt;=14/24,X$9&lt;20/24)</formula>
    </cfRule>
    <cfRule type="expression" dxfId="5801" priority="263">
      <formula>AND(X$9&gt;=8/24,X$9&lt;14/24)</formula>
    </cfRule>
    <cfRule type="expression" dxfId="5800" priority="264">
      <formula>X$9&lt;8/24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E49:L49 M49:AF51">
    <cfRule type="expression" dxfId="5799" priority="257">
      <formula>E$9&gt;=20/24</formula>
    </cfRule>
    <cfRule type="expression" dxfId="5798" priority="258">
      <formula>AND(E$9&gt;=14/24,E$9&lt;20/24)</formula>
    </cfRule>
    <cfRule type="expression" dxfId="5797" priority="259">
      <formula>AND(E$9&gt;=8/24,E$9&lt;14/24)</formula>
    </cfRule>
    <cfRule type="expression" dxfId="5796" priority="260">
      <formula>E$9&lt;8/24</formula>
    </cfRule>
  </conditionalFormatting>
  <conditionalFormatting sqref="E49:L49 M49:AF51">
    <cfRule type="expression" dxfId="5795" priority="256">
      <formula>E49&gt;$AG49</formula>
    </cfRule>
  </conditionalFormatting>
  <conditionalFormatting sqref="AG52">
    <cfRule type="expression" dxfId="5794" priority="252">
      <formula>AG$9&gt;=20/24</formula>
    </cfRule>
    <cfRule type="expression" dxfId="5793" priority="253">
      <formula>AND(AG$9&gt;=14/24,AG$9&lt;20/24)</formula>
    </cfRule>
    <cfRule type="expression" dxfId="5792" priority="254">
      <formula>AND(AG$9&gt;=8/24,AG$9&lt;14/24)</formula>
    </cfRule>
    <cfRule type="expression" dxfId="5791" priority="255">
      <formula>AG$9&lt;8/24</formula>
    </cfRule>
  </conditionalFormatting>
  <conditionalFormatting sqref="AG52">
    <cfRule type="expression" dxfId="5790" priority="251">
      <formula>AG52&gt;$AG52</formula>
    </cfRule>
  </conditionalFormatting>
  <conditionalFormatting sqref="C107:AF107">
    <cfRule type="expression" dxfId="5789" priority="247">
      <formula>C$9&gt;=20/24</formula>
    </cfRule>
    <cfRule type="expression" dxfId="5788" priority="248">
      <formula>AND(C$9&gt;=14/24,C$9&lt;20/24)</formula>
    </cfRule>
    <cfRule type="expression" dxfId="5787" priority="249">
      <formula>AND(C$9&gt;=8/24,C$9&lt;14/24)</formula>
    </cfRule>
    <cfRule type="expression" dxfId="5786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5785" priority="245">
      <formula>$AH40=0</formula>
    </cfRule>
  </conditionalFormatting>
  <conditionalFormatting sqref="A90">
    <cfRule type="expression" dxfId="5784" priority="243">
      <formula>$AH90=0</formula>
    </cfRule>
  </conditionalFormatting>
  <conditionalFormatting sqref="A87">
    <cfRule type="expression" dxfId="5783" priority="244">
      <formula>$AH87=0</formula>
    </cfRule>
  </conditionalFormatting>
  <conditionalFormatting sqref="E110:AF110">
    <cfRule type="expression" dxfId="5782" priority="239">
      <formula>E$9&gt;=20/24</formula>
    </cfRule>
    <cfRule type="expression" dxfId="5781" priority="240">
      <formula>AND(E$9&gt;=14/24,E$9&lt;20/24)</formula>
    </cfRule>
    <cfRule type="expression" dxfId="5780" priority="241">
      <formula>AND(E$9&gt;=8/24,E$9&lt;14/24)</formula>
    </cfRule>
    <cfRule type="expression" dxfId="5779" priority="242">
      <formula>E$9&lt;8/24</formula>
    </cfRule>
  </conditionalFormatting>
  <conditionalFormatting sqref="A110">
    <cfRule type="expression" dxfId="5778" priority="238">
      <formula>$AH110=0</formula>
    </cfRule>
  </conditionalFormatting>
  <conditionalFormatting sqref="A21">
    <cfRule type="expression" dxfId="5777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776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5775" priority="230">
      <formula>Y$9&gt;=20/24</formula>
    </cfRule>
    <cfRule type="expression" dxfId="5774" priority="231">
      <formula>AND(Y$9&gt;=14/24,Y$9&lt;20/24)</formula>
    </cfRule>
    <cfRule type="expression" dxfId="5773" priority="232">
      <formula>AND(Y$9&gt;=8/24,Y$9&lt;14/24)</formula>
    </cfRule>
    <cfRule type="expression" dxfId="5772" priority="233">
      <formula>Y$9&lt;8/24</formula>
    </cfRule>
  </conditionalFormatting>
  <conditionalFormatting sqref="Y100:AC106">
    <cfRule type="expression" dxfId="5771" priority="226">
      <formula>Y$9&gt;=20/24</formula>
    </cfRule>
    <cfRule type="expression" dxfId="5770" priority="227">
      <formula>AND(Y$9&gt;=14/24,Y$9&lt;20/24)</formula>
    </cfRule>
    <cfRule type="expression" dxfId="5769" priority="228">
      <formula>AND(Y$9&gt;=8/24,Y$9&lt;14/24)</formula>
    </cfRule>
    <cfRule type="expression" dxfId="5768" priority="229">
      <formula>Y$9&lt;8/24</formula>
    </cfRule>
  </conditionalFormatting>
  <conditionalFormatting sqref="Z34:AF43 Z17:AF32">
    <cfRule type="expression" dxfId="5767" priority="222">
      <formula>Z$9&gt;=20/24</formula>
    </cfRule>
    <cfRule type="expression" dxfId="5766" priority="223">
      <formula>AND(Z$9&gt;=14/24,Z$9&lt;20/24)</formula>
    </cfRule>
    <cfRule type="expression" dxfId="5765" priority="224">
      <formula>AND(Z$9&gt;=8/24,Z$9&lt;14/24)</formula>
    </cfRule>
    <cfRule type="expression" dxfId="5764" priority="225">
      <formula>Z$9&lt;8/24</formula>
    </cfRule>
  </conditionalFormatting>
  <conditionalFormatting sqref="C47:S47">
    <cfRule type="expression" dxfId="5763" priority="218">
      <formula>C$9&gt;=20/24</formula>
    </cfRule>
    <cfRule type="expression" dxfId="5762" priority="219">
      <formula>AND(C$9&gt;=14/24,C$9&lt;20/24)</formula>
    </cfRule>
    <cfRule type="expression" dxfId="5761" priority="220">
      <formula>AND(C$9&gt;=8/24,C$9&lt;14/24)</formula>
    </cfRule>
    <cfRule type="expression" dxfId="5760" priority="221">
      <formula>C$9&lt;8/24</formula>
    </cfRule>
  </conditionalFormatting>
  <conditionalFormatting sqref="C47:S47 Z34:AF43 Z17:AF32">
    <cfRule type="expression" dxfId="5759" priority="217">
      <formula>C17&gt;$AG17</formula>
    </cfRule>
  </conditionalFormatting>
  <conditionalFormatting sqref="C99:D99">
    <cfRule type="expression" dxfId="5758" priority="213">
      <formula>C$9&gt;=20/24</formula>
    </cfRule>
    <cfRule type="expression" dxfId="5757" priority="214">
      <formula>AND(C$9&gt;=14/24,C$9&lt;20/24)</formula>
    </cfRule>
    <cfRule type="expression" dxfId="5756" priority="215">
      <formula>AND(C$9&gt;=8/24,C$9&lt;14/24)</formula>
    </cfRule>
    <cfRule type="expression" dxfId="5755" priority="216">
      <formula>C$9&lt;8/24</formula>
    </cfRule>
  </conditionalFormatting>
  <conditionalFormatting sqref="C86 C96:W96 C83:AF85 N67:Y69 M74:Y75 Z75:AF76">
    <cfRule type="expression" dxfId="5754" priority="209">
      <formula>C$9&gt;=20/24</formula>
    </cfRule>
    <cfRule type="expression" dxfId="5753" priority="210">
      <formula>AND(C$9&gt;=14/24,C$9&lt;20/24)</formula>
    </cfRule>
    <cfRule type="expression" dxfId="5752" priority="211">
      <formula>AND(C$9&gt;=8/24,C$9&lt;14/24)</formula>
    </cfRule>
    <cfRule type="expression" dxfId="5751" priority="212">
      <formula>C$9&lt;8/24</formula>
    </cfRule>
  </conditionalFormatting>
  <conditionalFormatting sqref="N67:Y69">
    <cfRule type="expression" dxfId="5750" priority="208">
      <formula>N67&gt;$AG67</formula>
    </cfRule>
  </conditionalFormatting>
  <conditionalFormatting sqref="B71:D71 B54:L57">
    <cfRule type="expression" dxfId="5749" priority="132">
      <formula>B$9&gt;=20/24</formula>
    </cfRule>
    <cfRule type="expression" dxfId="5748" priority="133">
      <formula>AND(B$9&gt;=14/24,B$9&lt;20/24)</formula>
    </cfRule>
    <cfRule type="expression" dxfId="5747" priority="134">
      <formula>AND(B$9&gt;=8/24,B$9&lt;14/24)</formula>
    </cfRule>
    <cfRule type="expression" dxfId="5746" priority="135">
      <formula>B$9&lt;8/24</formula>
    </cfRule>
  </conditionalFormatting>
  <conditionalFormatting sqref="B87:AF87 B89:AF89 B98:AF98 B70:AF70">
    <cfRule type="expression" dxfId="5745" priority="199">
      <formula>B$9&gt;=20/24</formula>
    </cfRule>
    <cfRule type="expression" dxfId="5744" priority="200">
      <formula>AND(B$9&gt;=14/24,B$9&lt;20/24)</formula>
    </cfRule>
    <cfRule type="expression" dxfId="5743" priority="201">
      <formula>AND(B$9&gt;=8/24,B$9&lt;14/24)</formula>
    </cfRule>
    <cfRule type="expression" dxfId="5742" priority="202">
      <formula>B$9&lt;8/24</formula>
    </cfRule>
  </conditionalFormatting>
  <conditionalFormatting sqref="C65:AF66 B48:AF48 B66 B70:AF70">
    <cfRule type="expression" dxfId="5741" priority="198">
      <formula>B48&gt;$AG48</formula>
    </cfRule>
  </conditionalFormatting>
  <conditionalFormatting sqref="B82:AF82">
    <cfRule type="expression" dxfId="5740" priority="194">
      <formula>B$9&gt;=20/24</formula>
    </cfRule>
    <cfRule type="expression" dxfId="5739" priority="195">
      <formula>AND(B$9&gt;=14/24,B$9&lt;20/24)</formula>
    </cfRule>
    <cfRule type="expression" dxfId="5738" priority="196">
      <formula>AND(B$9&gt;=8/24,B$9&lt;14/24)</formula>
    </cfRule>
    <cfRule type="expression" dxfId="5737" priority="197">
      <formula>B$9&lt;8/24</formula>
    </cfRule>
  </conditionalFormatting>
  <conditionalFormatting sqref="C91:W95">
    <cfRule type="expression" dxfId="5736" priority="190">
      <formula>C$9&gt;=20/24</formula>
    </cfRule>
    <cfRule type="expression" dxfId="5735" priority="191">
      <formula>AND(C$9&gt;=14/24,C$9&lt;20/24)</formula>
    </cfRule>
    <cfRule type="expression" dxfId="5734" priority="192">
      <formula>AND(C$9&gt;=8/24,C$9&lt;14/24)</formula>
    </cfRule>
    <cfRule type="expression" dxfId="5733" priority="193">
      <formula>C$9&lt;8/24</formula>
    </cfRule>
  </conditionalFormatting>
  <conditionalFormatting sqref="B52:AF52">
    <cfRule type="expression" dxfId="5732" priority="186">
      <formula>B$9&gt;=20/24</formula>
    </cfRule>
    <cfRule type="expression" dxfId="5731" priority="187">
      <formula>AND(B$9&gt;=14/24,B$9&lt;20/24)</formula>
    </cfRule>
    <cfRule type="expression" dxfId="5730" priority="188">
      <formula>AND(B$9&gt;=8/24,B$9&lt;14/24)</formula>
    </cfRule>
    <cfRule type="expression" dxfId="5729" priority="189">
      <formula>B$9&lt;8/24</formula>
    </cfRule>
  </conditionalFormatting>
  <conditionalFormatting sqref="B52:AF52">
    <cfRule type="expression" dxfId="5728" priority="185">
      <formula>B52&gt;$AG52</formula>
    </cfRule>
  </conditionalFormatting>
  <conditionalFormatting sqref="B49:D51 E50:L51">
    <cfRule type="expression" dxfId="5727" priority="100">
      <formula>B$9&gt;=20/24</formula>
    </cfRule>
    <cfRule type="expression" dxfId="5726" priority="101">
      <formula>AND(B$9&gt;=14/24,B$9&lt;20/24)</formula>
    </cfRule>
    <cfRule type="expression" dxfId="5725" priority="102">
      <formula>AND(B$9&gt;=8/24,B$9&lt;14/24)</formula>
    </cfRule>
    <cfRule type="expression" dxfId="5724" priority="103">
      <formula>B$9&lt;8/24</formula>
    </cfRule>
  </conditionalFormatting>
  <conditionalFormatting sqref="Z59:AF64">
    <cfRule type="expression" dxfId="5723" priority="173">
      <formula>Z$9&gt;=20/24</formula>
    </cfRule>
    <cfRule type="expression" dxfId="5722" priority="174">
      <formula>AND(Z$9&gt;=14/24,Z$9&lt;20/24)</formula>
    </cfRule>
    <cfRule type="expression" dxfId="5721" priority="175">
      <formula>AND(Z$9&gt;=8/24,Z$9&lt;14/24)</formula>
    </cfRule>
    <cfRule type="expression" dxfId="5720" priority="176">
      <formula>Z$9&lt;8/24</formula>
    </cfRule>
  </conditionalFormatting>
  <conditionalFormatting sqref="Z59:AF64">
    <cfRule type="expression" dxfId="5719" priority="172">
      <formula>Z59&gt;$AG59</formula>
    </cfRule>
  </conditionalFormatting>
  <conditionalFormatting sqref="Z45:AF45 Z13:AF15">
    <cfRule type="expression" dxfId="5718" priority="171">
      <formula>Z13&gt;$AG13</formula>
    </cfRule>
  </conditionalFormatting>
  <conditionalFormatting sqref="Z12:AF12">
    <cfRule type="expression" dxfId="5717" priority="167">
      <formula>Z$9&gt;=20/24</formula>
    </cfRule>
    <cfRule type="expression" dxfId="5716" priority="168">
      <formula>AND(Z$9&gt;=14/24,Z$9&lt;20/24)</formula>
    </cfRule>
    <cfRule type="expression" dxfId="5715" priority="169">
      <formula>AND(Z$9&gt;=8/24,Z$9&lt;14/24)</formula>
    </cfRule>
    <cfRule type="expression" dxfId="5714" priority="170">
      <formula>Z$9&lt;8/24</formula>
    </cfRule>
  </conditionalFormatting>
  <conditionalFormatting sqref="Z12:AF12">
    <cfRule type="expression" dxfId="5713" priority="166">
      <formula>Z12&gt;$AG12</formula>
    </cfRule>
  </conditionalFormatting>
  <conditionalFormatting sqref="Z13:AF15">
    <cfRule type="expression" dxfId="5712" priority="162">
      <formula>Z$9&gt;=20/24</formula>
    </cfRule>
    <cfRule type="expression" dxfId="5711" priority="163">
      <formula>AND(Z$9&gt;=14/24,Z$9&lt;20/24)</formula>
    </cfRule>
    <cfRule type="expression" dxfId="5710" priority="164">
      <formula>AND(Z$9&gt;=8/24,Z$9&lt;14/24)</formula>
    </cfRule>
    <cfRule type="expression" dxfId="5709" priority="165">
      <formula>Z$9&lt;8/24</formula>
    </cfRule>
  </conditionalFormatting>
  <conditionalFormatting sqref="Z45:AF45">
    <cfRule type="expression" dxfId="5708" priority="158">
      <formula>Z$9&gt;=20/24</formula>
    </cfRule>
    <cfRule type="expression" dxfId="5707" priority="159">
      <formula>AND(Z$9&gt;=14/24,Z$9&lt;20/24)</formula>
    </cfRule>
    <cfRule type="expression" dxfId="5706" priority="160">
      <formula>AND(Z$9&gt;=8/24,Z$9&lt;14/24)</formula>
    </cfRule>
    <cfRule type="expression" dxfId="5705" priority="161">
      <formula>Z$9&lt;8/24</formula>
    </cfRule>
  </conditionalFormatting>
  <conditionalFormatting sqref="Z77:AF81">
    <cfRule type="expression" dxfId="5704" priority="154">
      <formula>Z$9&gt;=20/24</formula>
    </cfRule>
    <cfRule type="expression" dxfId="5703" priority="155">
      <formula>AND(Z$9&gt;=14/24,Z$9&lt;20/24)</formula>
    </cfRule>
    <cfRule type="expression" dxfId="5702" priority="156">
      <formula>AND(Z$9&gt;=8/24,Z$9&lt;14/24)</formula>
    </cfRule>
    <cfRule type="expression" dxfId="5701" priority="157">
      <formula>Z$9&lt;8/24</formula>
    </cfRule>
  </conditionalFormatting>
  <conditionalFormatting sqref="AL78:AN78 AL84:AN84 AN79:AN80">
    <cfRule type="expression" dxfId="5700" priority="150">
      <formula>AL$9&gt;=20/24</formula>
    </cfRule>
    <cfRule type="expression" dxfId="5699" priority="151">
      <formula>AND(AL$9&gt;=14/24,AL$9&lt;20/24)</formula>
    </cfRule>
    <cfRule type="expression" dxfId="5698" priority="152">
      <formula>AND(AL$9&gt;=8/24,AL$9&lt;14/24)</formula>
    </cfRule>
    <cfRule type="expression" dxfId="5697" priority="153">
      <formula>AL$9&lt;8/24</formula>
    </cfRule>
  </conditionalFormatting>
  <conditionalFormatting sqref="AN81:AN82">
    <cfRule type="expression" dxfId="5696" priority="146">
      <formula>AN$9&gt;=20/24</formula>
    </cfRule>
    <cfRule type="expression" dxfId="5695" priority="147">
      <formula>AND(AN$9&gt;=14/24,AN$9&lt;20/24)</formula>
    </cfRule>
    <cfRule type="expression" dxfId="5694" priority="148">
      <formula>AND(AN$9&gt;=8/24,AN$9&lt;14/24)</formula>
    </cfRule>
    <cfRule type="expression" dxfId="5693" priority="149">
      <formula>AN$9&lt;8/24</formula>
    </cfRule>
  </conditionalFormatting>
  <conditionalFormatting sqref="AL79:AM83">
    <cfRule type="expression" dxfId="5692" priority="363">
      <formula>AJ$9&gt;=20/24</formula>
    </cfRule>
    <cfRule type="expression" dxfId="5691" priority="364">
      <formula>AND(AJ$9&gt;=14/24,AJ$9&lt;20/24)</formula>
    </cfRule>
    <cfRule type="expression" dxfId="5690" priority="365">
      <formula>AND(AJ$9&gt;=8/24,AJ$9&lt;14/24)</formula>
    </cfRule>
    <cfRule type="expression" dxfId="5689" priority="366">
      <formula>AJ$9&lt;8/24</formula>
    </cfRule>
  </conditionalFormatting>
  <conditionalFormatting sqref="A117">
    <cfRule type="expression" dxfId="5688" priority="145">
      <formula>$AH117=0</formula>
    </cfRule>
  </conditionalFormatting>
  <conditionalFormatting sqref="B109:D109 B111:D116 B12:Y15 B17:Y32 B34:Y43 B45:Y45">
    <cfRule type="expression" dxfId="5687" priority="141">
      <formula>B$9&gt;=20/24</formula>
    </cfRule>
    <cfRule type="expression" dxfId="5686" priority="142">
      <formula>AND(B$9&gt;=14/24,B$9&lt;20/24)</formula>
    </cfRule>
    <cfRule type="expression" dxfId="5685" priority="143">
      <formula>AND(B$9&gt;=8/24,B$9&lt;14/24)</formula>
    </cfRule>
    <cfRule type="expression" dxfId="5684" priority="144">
      <formula>B$9&lt;8/24</formula>
    </cfRule>
  </conditionalFormatting>
  <conditionalFormatting sqref="B12:Y15 B17:Y32 B34:Y43 B45:Y45">
    <cfRule type="expression" dxfId="5683" priority="140">
      <formula>B12&gt;$AG12</formula>
    </cfRule>
  </conditionalFormatting>
  <conditionalFormatting sqref="B99">
    <cfRule type="expression" dxfId="5682" priority="136">
      <formula>B$9&gt;=20/24</formula>
    </cfRule>
    <cfRule type="expression" dxfId="5681" priority="137">
      <formula>AND(B$9&gt;=14/24,B$9&lt;20/24)</formula>
    </cfRule>
    <cfRule type="expression" dxfId="5680" priority="138">
      <formula>AND(B$9&gt;=8/24,B$9&lt;14/24)</formula>
    </cfRule>
    <cfRule type="expression" dxfId="5679" priority="139">
      <formula>B$9&lt;8/24</formula>
    </cfRule>
  </conditionalFormatting>
  <conditionalFormatting sqref="B53:L53">
    <cfRule type="expression" dxfId="5678" priority="128">
      <formula>B$9&gt;=20/24</formula>
    </cfRule>
    <cfRule type="expression" dxfId="5677" priority="129">
      <formula>AND(B$9&gt;=14/24,B$9&lt;20/24)</formula>
    </cfRule>
    <cfRule type="expression" dxfId="5676" priority="130">
      <formula>AND(B$9&gt;=8/24,B$9&lt;14/24)</formula>
    </cfRule>
    <cfRule type="expression" dxfId="5675" priority="131">
      <formula>B$9&lt;8/24</formula>
    </cfRule>
  </conditionalFormatting>
  <conditionalFormatting sqref="B53:L57">
    <cfRule type="expression" dxfId="5674" priority="127">
      <formula>B53&gt;$AG53</formula>
    </cfRule>
  </conditionalFormatting>
  <conditionalFormatting sqref="B96 B86 B47 B72:L74 B100:L106 B67:M69">
    <cfRule type="expression" dxfId="5673" priority="123">
      <formula>B$9&gt;=20/24</formula>
    </cfRule>
    <cfRule type="expression" dxfId="5672" priority="124">
      <formula>AND(B$9&gt;=14/24,B$9&lt;20/24)</formula>
    </cfRule>
    <cfRule type="expression" dxfId="5671" priority="125">
      <formula>AND(B$9&gt;=8/24,B$9&lt;14/24)</formula>
    </cfRule>
    <cfRule type="expression" dxfId="5670" priority="126">
      <formula>B$9&lt;8/24</formula>
    </cfRule>
  </conditionalFormatting>
  <conditionalFormatting sqref="B47 B67:M69">
    <cfRule type="expression" dxfId="5669" priority="122">
      <formula>B47&gt;$AG47</formula>
    </cfRule>
  </conditionalFormatting>
  <conditionalFormatting sqref="B97 B88:C88">
    <cfRule type="expression" dxfId="5668" priority="118">
      <formula>B$9&gt;=20/24</formula>
    </cfRule>
    <cfRule type="expression" dxfId="5667" priority="119">
      <formula>AND(B$9&gt;=14/24,B$9&lt;20/24)</formula>
    </cfRule>
    <cfRule type="expression" dxfId="5666" priority="120">
      <formula>AND(B$9&gt;=8/24,B$9&lt;14/24)</formula>
    </cfRule>
    <cfRule type="expression" dxfId="5665" priority="121">
      <formula>B$9&lt;8/24</formula>
    </cfRule>
  </conditionalFormatting>
  <conditionalFormatting sqref="B46:AF46">
    <cfRule type="expression" dxfId="5664" priority="114">
      <formula>B$9&gt;=20/24</formula>
    </cfRule>
    <cfRule type="expression" dxfId="5663" priority="115">
      <formula>AND(B$9&gt;=14/24,B$9&lt;20/24)</formula>
    </cfRule>
    <cfRule type="expression" dxfId="5662" priority="116">
      <formula>AND(B$9&gt;=8/24,B$9&lt;14/24)</formula>
    </cfRule>
    <cfRule type="expression" dxfId="5661" priority="117">
      <formula>B$9&lt;8/24</formula>
    </cfRule>
  </conditionalFormatting>
  <conditionalFormatting sqref="B46:AF46">
    <cfRule type="expression" dxfId="5660" priority="113">
      <formula>B46&gt;$AG46</formula>
    </cfRule>
  </conditionalFormatting>
  <conditionalFormatting sqref="B58:Y58">
    <cfRule type="expression" dxfId="5659" priority="109">
      <formula>B$9&gt;=20/24</formula>
    </cfRule>
    <cfRule type="expression" dxfId="5658" priority="110">
      <formula>AND(B$9&gt;=14/24,B$9&lt;20/24)</formula>
    </cfRule>
    <cfRule type="expression" dxfId="5657" priority="111">
      <formula>AND(B$9&gt;=8/24,B$9&lt;14/24)</formula>
    </cfRule>
    <cfRule type="expression" dxfId="5656" priority="112">
      <formula>B$9&lt;8/24</formula>
    </cfRule>
  </conditionalFormatting>
  <conditionalFormatting sqref="B58:Y58">
    <cfRule type="expression" dxfId="5655" priority="108">
      <formula>B58&gt;$AG58</formula>
    </cfRule>
  </conditionalFormatting>
  <conditionalFormatting sqref="B91:B95">
    <cfRule type="expression" dxfId="5654" priority="104">
      <formula>B$9&gt;=20/24</formula>
    </cfRule>
    <cfRule type="expression" dxfId="5653" priority="105">
      <formula>AND(B$9&gt;=14/24,B$9&lt;20/24)</formula>
    </cfRule>
    <cfRule type="expression" dxfId="5652" priority="106">
      <formula>AND(B$9&gt;=8/24,B$9&lt;14/24)</formula>
    </cfRule>
    <cfRule type="expression" dxfId="5651" priority="107">
      <formula>B$9&lt;8/24</formula>
    </cfRule>
  </conditionalFormatting>
  <conditionalFormatting sqref="B49:D51 E50:L51">
    <cfRule type="expression" dxfId="5650" priority="99">
      <formula>B49&gt;$AG49</formula>
    </cfRule>
  </conditionalFormatting>
  <conditionalFormatting sqref="B107">
    <cfRule type="expression" dxfId="5649" priority="95">
      <formula>B$9&gt;=20/24</formula>
    </cfRule>
    <cfRule type="expression" dxfId="5648" priority="96">
      <formula>AND(B$9&gt;=14/24,B$9&lt;20/24)</formula>
    </cfRule>
    <cfRule type="expression" dxfId="5647" priority="97">
      <formula>AND(B$9&gt;=8/24,B$9&lt;14/24)</formula>
    </cfRule>
    <cfRule type="expression" dxfId="5646" priority="98">
      <formula>B$9&lt;8/24</formula>
    </cfRule>
  </conditionalFormatting>
  <conditionalFormatting sqref="B110:D110">
    <cfRule type="expression" dxfId="5645" priority="91">
      <formula>B$9&gt;=20/24</formula>
    </cfRule>
    <cfRule type="expression" dxfId="5644" priority="92">
      <formula>AND(B$9&gt;=14/24,B$9&lt;20/24)</formula>
    </cfRule>
    <cfRule type="expression" dxfId="5643" priority="93">
      <formula>AND(B$9&gt;=8/24,B$9&lt;14/24)</formula>
    </cfRule>
    <cfRule type="expression" dxfId="5642" priority="94">
      <formula>B$9&lt;8/24</formula>
    </cfRule>
  </conditionalFormatting>
  <conditionalFormatting sqref="B83:B85 B75:L76 M76:Y76">
    <cfRule type="expression" dxfId="5641" priority="87">
      <formula>B$9&gt;=20/24</formula>
    </cfRule>
    <cfRule type="expression" dxfId="5640" priority="88">
      <formula>AND(B$9&gt;=14/24,B$9&lt;20/24)</formula>
    </cfRule>
    <cfRule type="expression" dxfId="5639" priority="89">
      <formula>AND(B$9&gt;=8/24,B$9&lt;14/24)</formula>
    </cfRule>
    <cfRule type="expression" dxfId="5638" priority="90">
      <formula>B$9&lt;8/24</formula>
    </cfRule>
  </conditionalFormatting>
  <conditionalFormatting sqref="B65">
    <cfRule type="expression" dxfId="5637" priority="82">
      <formula>B65&gt;$AG65</formula>
    </cfRule>
  </conditionalFormatting>
  <conditionalFormatting sqref="B59:Y64">
    <cfRule type="expression" dxfId="5636" priority="65">
      <formula>B$9&gt;=20/24</formula>
    </cfRule>
    <cfRule type="expression" dxfId="5635" priority="66">
      <formula>AND(B$9&gt;=14/24,B$9&lt;20/24)</formula>
    </cfRule>
    <cfRule type="expression" dxfId="5634" priority="67">
      <formula>AND(B$9&gt;=8/24,B$9&lt;14/24)</formula>
    </cfRule>
    <cfRule type="expression" dxfId="5633" priority="68">
      <formula>B$9&lt;8/24</formula>
    </cfRule>
  </conditionalFormatting>
  <conditionalFormatting sqref="B59:Y64">
    <cfRule type="expression" dxfId="5632" priority="64">
      <formula>B59&gt;$AG59</formula>
    </cfRule>
  </conditionalFormatting>
  <conditionalFormatting sqref="B77:Y81">
    <cfRule type="expression" dxfId="5631" priority="60">
      <formula>B$9&gt;=20/24</formula>
    </cfRule>
    <cfRule type="expression" dxfId="5630" priority="61">
      <formula>AND(B$9&gt;=14/24,B$9&lt;20/24)</formula>
    </cfRule>
    <cfRule type="expression" dxfId="5629" priority="62">
      <formula>AND(B$9&gt;=8/24,B$9&lt;14/24)</formula>
    </cfRule>
    <cfRule type="expression" dxfId="5628" priority="63">
      <formula>B$9&lt;8/24</formula>
    </cfRule>
  </conditionalFormatting>
  <conditionalFormatting sqref="A11">
    <cfRule type="expression" dxfId="5627" priority="59">
      <formula>$AH11=0</formula>
    </cfRule>
  </conditionalFormatting>
  <conditionalFormatting sqref="E11:AF11">
    <cfRule type="expression" dxfId="5626" priority="55">
      <formula>E$9&gt;=20/24</formula>
    </cfRule>
    <cfRule type="expression" dxfId="5625" priority="56">
      <formula>AND(E$9&gt;=14/24,E$9&lt;20/24)</formula>
    </cfRule>
    <cfRule type="expression" dxfId="5624" priority="57">
      <formula>AND(E$9&gt;=8/24,E$9&lt;14/24)</formula>
    </cfRule>
    <cfRule type="expression" dxfId="5623" priority="58">
      <formula>E$9&lt;8/24</formula>
    </cfRule>
  </conditionalFormatting>
  <conditionalFormatting sqref="E11:AF11">
    <cfRule type="expression" dxfId="5622" priority="54">
      <formula>E11&gt;$AG11</formula>
    </cfRule>
  </conditionalFormatting>
  <conditionalFormatting sqref="B11:D11">
    <cfRule type="expression" dxfId="5621" priority="50">
      <formula>B$9&gt;=20/24</formula>
    </cfRule>
    <cfRule type="expression" dxfId="5620" priority="51">
      <formula>AND(B$9&gt;=14/24,B$9&lt;20/24)</formula>
    </cfRule>
    <cfRule type="expression" dxfId="5619" priority="52">
      <formula>AND(B$9&gt;=8/24,B$9&lt;14/24)</formula>
    </cfRule>
    <cfRule type="expression" dxfId="5618" priority="53">
      <formula>B$9&lt;8/24</formula>
    </cfRule>
  </conditionalFormatting>
  <conditionalFormatting sqref="B11:D11">
    <cfRule type="expression" dxfId="5617" priority="49">
      <formula>B11&gt;$AG11</formula>
    </cfRule>
  </conditionalFormatting>
  <conditionalFormatting sqref="A16">
    <cfRule type="expression" dxfId="5616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5615" priority="43">
      <formula>Z$9&gt;=20/24</formula>
    </cfRule>
    <cfRule type="expression" dxfId="5614" priority="44">
      <formula>AND(Z$9&gt;=14/24,Z$9&lt;20/24)</formula>
    </cfRule>
    <cfRule type="expression" dxfId="5613" priority="45">
      <formula>AND(Z$9&gt;=8/24,Z$9&lt;14/24)</formula>
    </cfRule>
    <cfRule type="expression" dxfId="5612" priority="46">
      <formula>Z$9&lt;8/24</formula>
    </cfRule>
  </conditionalFormatting>
  <conditionalFormatting sqref="Z16:AF16">
    <cfRule type="expression" dxfId="5611" priority="42">
      <formula>Z16&gt;$AG16</formula>
    </cfRule>
  </conditionalFormatting>
  <conditionalFormatting sqref="B16:Y16">
    <cfRule type="expression" dxfId="5610" priority="38">
      <formula>B$9&gt;=20/24</formula>
    </cfRule>
    <cfRule type="expression" dxfId="5609" priority="39">
      <formula>AND(B$9&gt;=14/24,B$9&lt;20/24)</formula>
    </cfRule>
    <cfRule type="expression" dxfId="5608" priority="40">
      <formula>AND(B$9&gt;=8/24,B$9&lt;14/24)</formula>
    </cfRule>
    <cfRule type="expression" dxfId="5607" priority="41">
      <formula>B$9&lt;8/24</formula>
    </cfRule>
  </conditionalFormatting>
  <conditionalFormatting sqref="B16:Y16">
    <cfRule type="expression" dxfId="5606" priority="37">
      <formula>B16&gt;$AG16</formula>
    </cfRule>
  </conditionalFormatting>
  <conditionalFormatting sqref="A33">
    <cfRule type="expression" dxfId="5605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5604" priority="31">
      <formula>Z$9&gt;=20/24</formula>
    </cfRule>
    <cfRule type="expression" dxfId="5603" priority="32">
      <formula>AND(Z$9&gt;=14/24,Z$9&lt;20/24)</formula>
    </cfRule>
    <cfRule type="expression" dxfId="5602" priority="33">
      <formula>AND(Z$9&gt;=8/24,Z$9&lt;14/24)</formula>
    </cfRule>
    <cfRule type="expression" dxfId="5601" priority="34">
      <formula>Z$9&lt;8/24</formula>
    </cfRule>
  </conditionalFormatting>
  <conditionalFormatting sqref="Z33:AF33">
    <cfRule type="expression" dxfId="5600" priority="30">
      <formula>Z33&gt;$AG33</formula>
    </cfRule>
  </conditionalFormatting>
  <conditionalFormatting sqref="B33:Y33">
    <cfRule type="expression" dxfId="5599" priority="26">
      <formula>B$9&gt;=20/24</formula>
    </cfRule>
    <cfRule type="expression" dxfId="5598" priority="27">
      <formula>AND(B$9&gt;=14/24,B$9&lt;20/24)</formula>
    </cfRule>
    <cfRule type="expression" dxfId="5597" priority="28">
      <formula>AND(B$9&gt;=8/24,B$9&lt;14/24)</formula>
    </cfRule>
    <cfRule type="expression" dxfId="5596" priority="29">
      <formula>B$9&lt;8/24</formula>
    </cfRule>
  </conditionalFormatting>
  <conditionalFormatting sqref="B33:Y33">
    <cfRule type="expression" dxfId="5595" priority="25">
      <formula>B33&gt;$AG33</formula>
    </cfRule>
  </conditionalFormatting>
  <conditionalFormatting sqref="A44">
    <cfRule type="expression" dxfId="5594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5593" priority="22">
      <formula>Z44&gt;$AG44</formula>
    </cfRule>
  </conditionalFormatting>
  <conditionalFormatting sqref="Z44:AF44">
    <cfRule type="expression" dxfId="5592" priority="18">
      <formula>Z$9&gt;=20/24</formula>
    </cfRule>
    <cfRule type="expression" dxfId="5591" priority="19">
      <formula>AND(Z$9&gt;=14/24,Z$9&lt;20/24)</formula>
    </cfRule>
    <cfRule type="expression" dxfId="5590" priority="20">
      <formula>AND(Z$9&gt;=8/24,Z$9&lt;14/24)</formula>
    </cfRule>
    <cfRule type="expression" dxfId="5589" priority="21">
      <formula>Z$9&lt;8/24</formula>
    </cfRule>
  </conditionalFormatting>
  <conditionalFormatting sqref="B44:Y44">
    <cfRule type="expression" dxfId="5588" priority="14">
      <formula>B$9&gt;=20/24</formula>
    </cfRule>
    <cfRule type="expression" dxfId="5587" priority="15">
      <formula>AND(B$9&gt;=14/24,B$9&lt;20/24)</formula>
    </cfRule>
    <cfRule type="expression" dxfId="5586" priority="16">
      <formula>AND(B$9&gt;=8/24,B$9&lt;14/24)</formula>
    </cfRule>
    <cfRule type="expression" dxfId="5585" priority="17">
      <formula>B$9&lt;8/24</formula>
    </cfRule>
  </conditionalFormatting>
  <conditionalFormatting sqref="B44:Y44">
    <cfRule type="expression" dxfId="5584" priority="13">
      <formula>B44&gt;$AG44</formula>
    </cfRule>
  </conditionalFormatting>
  <conditionalFormatting sqref="B117:D117">
    <cfRule type="expression" dxfId="5583" priority="1">
      <formula>B$9&gt;=20/24</formula>
    </cfRule>
    <cfRule type="expression" dxfId="5582" priority="2">
      <formula>AND(B$9&gt;=14/24,B$9&lt;20/24)</formula>
    </cfRule>
    <cfRule type="expression" dxfId="5581" priority="3">
      <formula>AND(B$9&gt;=8/24,B$9&lt;14/24)</formula>
    </cfRule>
    <cfRule type="expression" dxfId="5580" priority="4">
      <formula>B$9&lt;8/24</formula>
    </cfRule>
  </conditionalFormatting>
  <conditionalFormatting sqref="E117:AF117">
    <cfRule type="expression" dxfId="5579" priority="9">
      <formula>E$9&gt;=20/24</formula>
    </cfRule>
    <cfRule type="expression" dxfId="5578" priority="10">
      <formula>AND(E$9&gt;=14/24,E$9&lt;20/24)</formula>
    </cfRule>
    <cfRule type="expression" dxfId="5577" priority="11">
      <formula>AND(E$9&gt;=8/24,E$9&lt;14/24)</formula>
    </cfRule>
    <cfRule type="expression" dxfId="5576" priority="12">
      <formula>E$9&lt;8/24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BE1B26FB-6590-4C91-B9FB-E795CAB97BD2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CE59E900-6D12-4D8B-B5FF-D279E54E21B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6C562344-2E53-4257-B437-FA075AD9E3B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336D41A7-19AC-4CD9-AA29-B11C3D26DF1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B90:AF90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workbookViewId="0">
      <pane ySplit="10" topLeftCell="A13" activePane="bottomLeft" state="frozen"/>
      <selection activeCell="Z85" sqref="Z85"/>
      <selection pane="bottomLeft" activeCell="H35" sqref="H35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2079/12/13</v>
      </c>
      <c r="C4" s="236"/>
      <c r="D4" s="236"/>
      <c r="E4" s="237" t="str">
        <f ca="1">"2079/"&amp;"12/"&amp;INT(MID(CELL("filename",G6),FIND("]",CELL("filename",G6))+1,200))</f>
        <v>2079/12/13</v>
      </c>
      <c r="F4" s="237"/>
      <c r="G4" s="237"/>
      <c r="H4" s="237" t="str">
        <f ca="1">TEXT(E4,"dddd")</f>
        <v>Wednesday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552.1</v>
      </c>
      <c r="C5" s="33">
        <f t="shared" si="0"/>
        <v>468.1</v>
      </c>
      <c r="D5" s="33">
        <f t="shared" si="0"/>
        <v>479.59999999999997</v>
      </c>
      <c r="E5" s="33">
        <f t="shared" si="0"/>
        <v>469.70000000000005</v>
      </c>
      <c r="F5" s="33">
        <f t="shared" si="0"/>
        <v>464.4</v>
      </c>
      <c r="G5" s="33">
        <f t="shared" si="0"/>
        <v>498</v>
      </c>
      <c r="H5" s="33">
        <f t="shared" si="0"/>
        <v>508.40000000000003</v>
      </c>
      <c r="I5" s="33">
        <f t="shared" si="0"/>
        <v>538</v>
      </c>
      <c r="J5" s="33">
        <f t="shared" si="0"/>
        <v>571.30000000000007</v>
      </c>
      <c r="K5" s="33">
        <f t="shared" si="0"/>
        <v>551.29999999999995</v>
      </c>
      <c r="L5" s="33">
        <f t="shared" si="0"/>
        <v>567.59999999999991</v>
      </c>
      <c r="M5" s="33">
        <f t="shared" si="0"/>
        <v>627.70000000000005</v>
      </c>
      <c r="N5" s="33">
        <f t="shared" si="0"/>
        <v>651.5</v>
      </c>
      <c r="O5" s="33">
        <f t="shared" si="0"/>
        <v>603.4</v>
      </c>
      <c r="P5" s="33">
        <f t="shared" si="0"/>
        <v>677.69999999999993</v>
      </c>
      <c r="Q5" s="33">
        <f t="shared" si="0"/>
        <v>654.80000000000007</v>
      </c>
      <c r="R5" s="33">
        <f t="shared" si="0"/>
        <v>664.50000000000011</v>
      </c>
      <c r="S5" s="33">
        <f t="shared" si="0"/>
        <v>678.19999999999993</v>
      </c>
      <c r="T5" s="33">
        <f t="shared" si="0"/>
        <v>669.8</v>
      </c>
      <c r="U5" s="33">
        <f t="shared" si="0"/>
        <v>575.19999999999993</v>
      </c>
      <c r="V5" s="33">
        <f t="shared" si="0"/>
        <v>645.4</v>
      </c>
      <c r="W5" s="33">
        <f t="shared" si="0"/>
        <v>628.09999999999991</v>
      </c>
      <c r="X5" s="33">
        <f t="shared" si="0"/>
        <v>628.09999999999991</v>
      </c>
      <c r="Y5" s="33">
        <f t="shared" si="0"/>
        <v>592.09999999999991</v>
      </c>
      <c r="Z5" s="33">
        <f t="shared" si="0"/>
        <v>600.6</v>
      </c>
      <c r="AA5" s="33">
        <f t="shared" si="0"/>
        <v>566.1</v>
      </c>
      <c r="AB5" s="33">
        <f t="shared" si="0"/>
        <v>507</v>
      </c>
      <c r="AC5" s="33">
        <f t="shared" si="0"/>
        <v>512</v>
      </c>
      <c r="AD5" s="33">
        <f t="shared" si="0"/>
        <v>508</v>
      </c>
      <c r="AE5" s="33">
        <f t="shared" si="0"/>
        <v>578.6</v>
      </c>
      <c r="AF5" s="33">
        <f>B82</f>
        <v>550.1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1487MW at 9:00hr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Load=1278</v>
      </c>
      <c r="B7" s="38">
        <f t="shared" ref="B7:AF7" si="1">B89</f>
        <v>1342.44</v>
      </c>
      <c r="C7" s="38">
        <f t="shared" si="1"/>
        <v>1331.8400000000001</v>
      </c>
      <c r="D7" s="38">
        <f t="shared" si="1"/>
        <v>1295.74</v>
      </c>
      <c r="E7" s="38">
        <f t="shared" si="1"/>
        <v>1307.24</v>
      </c>
      <c r="F7" s="38">
        <f t="shared" si="1"/>
        <v>1288.54</v>
      </c>
      <c r="G7" s="38">
        <f t="shared" si="1"/>
        <v>1302.8399999999999</v>
      </c>
      <c r="H7" s="38">
        <f t="shared" si="1"/>
        <v>1332.74</v>
      </c>
      <c r="I7" s="38">
        <f t="shared" si="1"/>
        <v>1309.6400000000001</v>
      </c>
      <c r="J7" s="38">
        <f t="shared" si="1"/>
        <v>1415.04</v>
      </c>
      <c r="K7" s="38">
        <f t="shared" si="1"/>
        <v>1457.54</v>
      </c>
      <c r="L7" s="38">
        <f t="shared" si="1"/>
        <v>1467.34</v>
      </c>
      <c r="M7" s="38">
        <f t="shared" si="1"/>
        <v>1458.1399999999999</v>
      </c>
      <c r="N7" s="38">
        <f>N89</f>
        <v>1487.04</v>
      </c>
      <c r="O7" s="38">
        <f t="shared" si="1"/>
        <v>1528.4399999999998</v>
      </c>
      <c r="P7" s="38">
        <f t="shared" si="1"/>
        <v>1418.6399999999999</v>
      </c>
      <c r="Q7" s="38">
        <f t="shared" si="1"/>
        <v>1545.54</v>
      </c>
      <c r="R7" s="38">
        <f t="shared" si="1"/>
        <v>1631.1399999999999</v>
      </c>
      <c r="S7" s="38">
        <f t="shared" si="1"/>
        <v>1544.54</v>
      </c>
      <c r="T7" s="38">
        <f t="shared" si="1"/>
        <v>1553.2399999999998</v>
      </c>
      <c r="U7" s="38">
        <f t="shared" si="1"/>
        <v>1535.9399999999998</v>
      </c>
      <c r="V7" s="38">
        <f t="shared" si="1"/>
        <v>1391.2399999999998</v>
      </c>
      <c r="W7" s="38">
        <f t="shared" si="1"/>
        <v>1378.44</v>
      </c>
      <c r="X7" s="38">
        <f t="shared" si="1"/>
        <v>1361.1399999999999</v>
      </c>
      <c r="Y7" s="38">
        <f t="shared" si="1"/>
        <v>1429.8399999999997</v>
      </c>
      <c r="Z7" s="38">
        <f t="shared" si="1"/>
        <v>1727.3399999999997</v>
      </c>
      <c r="AA7" s="38">
        <f t="shared" si="1"/>
        <v>1749.74</v>
      </c>
      <c r="AB7" s="38">
        <f t="shared" si="1"/>
        <v>1716.7399999999998</v>
      </c>
      <c r="AC7" s="38">
        <f t="shared" si="1"/>
        <v>1643.1399999999999</v>
      </c>
      <c r="AD7" s="38">
        <f t="shared" si="1"/>
        <v>1619.54</v>
      </c>
      <c r="AE7" s="38">
        <f t="shared" si="1"/>
        <v>1506.04</v>
      </c>
      <c r="AF7" s="38">
        <f t="shared" si="1"/>
        <v>1278.28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24</v>
      </c>
      <c r="C11" s="50">
        <v>24</v>
      </c>
      <c r="D11" s="50">
        <v>24</v>
      </c>
      <c r="E11" s="50">
        <v>24</v>
      </c>
      <c r="F11" s="50">
        <v>24</v>
      </c>
      <c r="G11" s="50">
        <v>24</v>
      </c>
      <c r="H11" s="50">
        <v>24</v>
      </c>
      <c r="I11" s="50">
        <v>24</v>
      </c>
      <c r="J11" s="50">
        <v>24</v>
      </c>
      <c r="K11" s="50">
        <v>24</v>
      </c>
      <c r="L11" s="50">
        <v>24</v>
      </c>
      <c r="M11" s="50">
        <v>24</v>
      </c>
      <c r="N11" s="50">
        <v>24</v>
      </c>
      <c r="O11" s="50">
        <v>24</v>
      </c>
      <c r="P11" s="50">
        <v>24</v>
      </c>
      <c r="Q11" s="50">
        <v>24</v>
      </c>
      <c r="R11" s="50">
        <v>24</v>
      </c>
      <c r="S11" s="50">
        <v>24</v>
      </c>
      <c r="T11" s="50">
        <v>24</v>
      </c>
      <c r="U11" s="50">
        <v>24</v>
      </c>
      <c r="V11" s="50">
        <v>24</v>
      </c>
      <c r="W11" s="50">
        <v>24</v>
      </c>
      <c r="X11" s="50">
        <v>24</v>
      </c>
      <c r="Y11" s="50">
        <v>24</v>
      </c>
      <c r="Z11" s="50">
        <v>24</v>
      </c>
      <c r="AA11" s="50">
        <v>24</v>
      </c>
      <c r="AB11" s="50">
        <v>24</v>
      </c>
      <c r="AC11" s="50">
        <v>24</v>
      </c>
      <c r="AD11" s="50">
        <v>24</v>
      </c>
      <c r="AE11" s="50">
        <v>24</v>
      </c>
      <c r="AF11" s="50">
        <v>24</v>
      </c>
      <c r="AG11" s="51">
        <v>86</v>
      </c>
      <c r="AH11" s="52">
        <f t="shared" ref="AH11:AH74" si="2">MAX(B11:AF11)</f>
        <v>24</v>
      </c>
      <c r="AI11" s="53">
        <f t="shared" ref="AI11:AI74" si="3">MIN(B11:AF11)</f>
        <v>24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12</v>
      </c>
      <c r="C12" s="50">
        <v>10.6</v>
      </c>
      <c r="D12" s="50">
        <v>13.5</v>
      </c>
      <c r="E12" s="50">
        <v>13.5</v>
      </c>
      <c r="F12" s="50">
        <v>13.5</v>
      </c>
      <c r="G12" s="50">
        <v>13.5</v>
      </c>
      <c r="H12" s="50">
        <v>13.5</v>
      </c>
      <c r="I12" s="50">
        <v>13.5</v>
      </c>
      <c r="J12" s="50">
        <v>13.5</v>
      </c>
      <c r="K12" s="50">
        <v>13.5</v>
      </c>
      <c r="L12" s="50">
        <v>13.5</v>
      </c>
      <c r="M12" s="50">
        <v>13.5</v>
      </c>
      <c r="N12" s="50">
        <v>13.5</v>
      </c>
      <c r="O12" s="50">
        <v>13.5</v>
      </c>
      <c r="P12" s="50">
        <v>13.5</v>
      </c>
      <c r="Q12" s="50">
        <v>13.5</v>
      </c>
      <c r="R12" s="50">
        <v>13.5</v>
      </c>
      <c r="S12" s="50">
        <v>13.5</v>
      </c>
      <c r="T12" s="50">
        <v>13.5</v>
      </c>
      <c r="U12" s="50">
        <v>13.5</v>
      </c>
      <c r="V12" s="50">
        <v>13.5</v>
      </c>
      <c r="W12" s="50">
        <v>13.5</v>
      </c>
      <c r="X12" s="50">
        <v>13.5</v>
      </c>
      <c r="Y12" s="50">
        <v>13.5</v>
      </c>
      <c r="Z12" s="50">
        <v>13.5</v>
      </c>
      <c r="AA12" s="50">
        <v>13.5</v>
      </c>
      <c r="AB12" s="50">
        <v>13.5</v>
      </c>
      <c r="AC12" s="50">
        <v>13.5</v>
      </c>
      <c r="AD12" s="50">
        <v>13.5</v>
      </c>
      <c r="AE12" s="50">
        <v>13.5</v>
      </c>
      <c r="AF12" s="50">
        <v>13.5</v>
      </c>
      <c r="AG12" s="51">
        <v>52.4</v>
      </c>
      <c r="AH12" s="52">
        <f t="shared" si="2"/>
        <v>13.5</v>
      </c>
      <c r="AI12" s="53">
        <f t="shared" si="3"/>
        <v>10.6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29.8</v>
      </c>
      <c r="C13" s="50">
        <v>29.9</v>
      </c>
      <c r="D13" s="50">
        <v>30.2</v>
      </c>
      <c r="E13" s="50">
        <v>30.2</v>
      </c>
      <c r="F13" s="50">
        <v>30.2</v>
      </c>
      <c r="G13" s="50">
        <v>30.2</v>
      </c>
      <c r="H13" s="50">
        <v>30.2</v>
      </c>
      <c r="I13" s="50">
        <v>30.2</v>
      </c>
      <c r="J13" s="50">
        <v>30.2</v>
      </c>
      <c r="K13" s="50">
        <v>30.2</v>
      </c>
      <c r="L13" s="50">
        <v>30.2</v>
      </c>
      <c r="M13" s="50">
        <v>30.2</v>
      </c>
      <c r="N13" s="50">
        <v>30.2</v>
      </c>
      <c r="O13" s="50">
        <v>30.2</v>
      </c>
      <c r="P13" s="50">
        <v>30.2</v>
      </c>
      <c r="Q13" s="50">
        <v>30.2</v>
      </c>
      <c r="R13" s="50">
        <v>30.2</v>
      </c>
      <c r="S13" s="50">
        <v>30.2</v>
      </c>
      <c r="T13" s="50">
        <v>30.2</v>
      </c>
      <c r="U13" s="50">
        <v>30.2</v>
      </c>
      <c r="V13" s="50">
        <v>30.2</v>
      </c>
      <c r="W13" s="50">
        <v>30.2</v>
      </c>
      <c r="X13" s="50">
        <v>30.2</v>
      </c>
      <c r="Y13" s="50">
        <v>30.2</v>
      </c>
      <c r="Z13" s="50">
        <v>30.2</v>
      </c>
      <c r="AA13" s="50">
        <v>30.2</v>
      </c>
      <c r="AB13" s="50">
        <v>30.2</v>
      </c>
      <c r="AC13" s="50">
        <v>30.2</v>
      </c>
      <c r="AD13" s="50">
        <v>30.2</v>
      </c>
      <c r="AE13" s="50">
        <v>30.2</v>
      </c>
      <c r="AF13" s="50">
        <v>30.2</v>
      </c>
      <c r="AG13" s="55">
        <v>50</v>
      </c>
      <c r="AH13" s="52">
        <f t="shared" si="2"/>
        <v>30.2</v>
      </c>
      <c r="AI13" s="53">
        <f t="shared" si="3"/>
        <v>29.8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16</v>
      </c>
      <c r="C14" s="50">
        <v>16</v>
      </c>
      <c r="D14" s="50">
        <v>16</v>
      </c>
      <c r="E14" s="50">
        <v>16</v>
      </c>
      <c r="F14" s="50">
        <v>16</v>
      </c>
      <c r="G14" s="50">
        <v>16</v>
      </c>
      <c r="H14" s="50">
        <v>16</v>
      </c>
      <c r="I14" s="50">
        <v>16</v>
      </c>
      <c r="J14" s="50">
        <v>16</v>
      </c>
      <c r="K14" s="50">
        <v>16</v>
      </c>
      <c r="L14" s="50">
        <v>16</v>
      </c>
      <c r="M14" s="50">
        <v>16</v>
      </c>
      <c r="N14" s="50">
        <v>16</v>
      </c>
      <c r="O14" s="50">
        <v>16</v>
      </c>
      <c r="P14" s="50">
        <v>16</v>
      </c>
      <c r="Q14" s="50">
        <v>16</v>
      </c>
      <c r="R14" s="50">
        <v>16</v>
      </c>
      <c r="S14" s="50">
        <v>16</v>
      </c>
      <c r="T14" s="50">
        <v>16</v>
      </c>
      <c r="U14" s="50">
        <v>16</v>
      </c>
      <c r="V14" s="50">
        <v>16</v>
      </c>
      <c r="W14" s="50">
        <v>16</v>
      </c>
      <c r="X14" s="50">
        <v>16</v>
      </c>
      <c r="Y14" s="50">
        <v>16</v>
      </c>
      <c r="Z14" s="50">
        <v>16</v>
      </c>
      <c r="AA14" s="50">
        <v>16</v>
      </c>
      <c r="AB14" s="50">
        <v>16</v>
      </c>
      <c r="AC14" s="50">
        <v>16</v>
      </c>
      <c r="AD14" s="50">
        <v>16</v>
      </c>
      <c r="AE14" s="50">
        <v>16</v>
      </c>
      <c r="AF14" s="50">
        <v>16</v>
      </c>
      <c r="AG14" s="55">
        <v>45</v>
      </c>
      <c r="AH14" s="52">
        <f t="shared" si="2"/>
        <v>16</v>
      </c>
      <c r="AI14" s="53">
        <f t="shared" si="3"/>
        <v>16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11</v>
      </c>
      <c r="C15" s="50">
        <v>11</v>
      </c>
      <c r="D15" s="50">
        <v>11</v>
      </c>
      <c r="E15" s="50">
        <v>11</v>
      </c>
      <c r="F15" s="50">
        <v>11</v>
      </c>
      <c r="G15" s="50">
        <v>11</v>
      </c>
      <c r="H15" s="50">
        <v>11</v>
      </c>
      <c r="I15" s="50">
        <v>11</v>
      </c>
      <c r="J15" s="50">
        <v>11</v>
      </c>
      <c r="K15" s="50">
        <v>11</v>
      </c>
      <c r="L15" s="50">
        <v>11</v>
      </c>
      <c r="M15" s="50">
        <v>11</v>
      </c>
      <c r="N15" s="50">
        <v>11</v>
      </c>
      <c r="O15" s="50">
        <v>11</v>
      </c>
      <c r="P15" s="50">
        <v>11</v>
      </c>
      <c r="Q15" s="50">
        <v>11</v>
      </c>
      <c r="R15" s="50">
        <v>11</v>
      </c>
      <c r="S15" s="50">
        <v>11</v>
      </c>
      <c r="T15" s="50">
        <v>11</v>
      </c>
      <c r="U15" s="50">
        <v>11</v>
      </c>
      <c r="V15" s="50">
        <v>11</v>
      </c>
      <c r="W15" s="50">
        <v>11</v>
      </c>
      <c r="X15" s="50">
        <v>11</v>
      </c>
      <c r="Y15" s="50">
        <v>11</v>
      </c>
      <c r="Z15" s="50">
        <v>11</v>
      </c>
      <c r="AA15" s="50">
        <v>11</v>
      </c>
      <c r="AB15" s="50">
        <v>11</v>
      </c>
      <c r="AC15" s="50">
        <v>11</v>
      </c>
      <c r="AD15" s="50">
        <v>11</v>
      </c>
      <c r="AE15" s="50">
        <v>11</v>
      </c>
      <c r="AF15" s="50">
        <v>11</v>
      </c>
      <c r="AG15" s="55">
        <v>42</v>
      </c>
      <c r="AH15" s="52">
        <f t="shared" si="2"/>
        <v>11</v>
      </c>
      <c r="AI15" s="53">
        <f t="shared" si="3"/>
        <v>11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14</v>
      </c>
      <c r="C16" s="50">
        <v>14</v>
      </c>
      <c r="D16" s="50">
        <v>14</v>
      </c>
      <c r="E16" s="50">
        <v>14</v>
      </c>
      <c r="F16" s="50">
        <v>14</v>
      </c>
      <c r="G16" s="50">
        <v>14</v>
      </c>
      <c r="H16" s="50">
        <v>14</v>
      </c>
      <c r="I16" s="50">
        <v>14</v>
      </c>
      <c r="J16" s="50">
        <v>14</v>
      </c>
      <c r="K16" s="50">
        <v>14</v>
      </c>
      <c r="L16" s="50">
        <v>14</v>
      </c>
      <c r="M16" s="50">
        <v>14</v>
      </c>
      <c r="N16" s="50">
        <v>14</v>
      </c>
      <c r="O16" s="50">
        <v>14</v>
      </c>
      <c r="P16" s="50">
        <v>14</v>
      </c>
      <c r="Q16" s="50">
        <v>14</v>
      </c>
      <c r="R16" s="50">
        <v>14</v>
      </c>
      <c r="S16" s="50">
        <v>14</v>
      </c>
      <c r="T16" s="50">
        <v>14</v>
      </c>
      <c r="U16" s="50">
        <v>14</v>
      </c>
      <c r="V16" s="50">
        <v>14</v>
      </c>
      <c r="W16" s="50">
        <v>14</v>
      </c>
      <c r="X16" s="50">
        <v>14</v>
      </c>
      <c r="Y16" s="50">
        <v>14</v>
      </c>
      <c r="Z16" s="50">
        <v>14</v>
      </c>
      <c r="AA16" s="50">
        <v>14</v>
      </c>
      <c r="AB16" s="50">
        <v>14</v>
      </c>
      <c r="AC16" s="50">
        <v>14</v>
      </c>
      <c r="AD16" s="50">
        <v>14</v>
      </c>
      <c r="AE16" s="50">
        <v>14</v>
      </c>
      <c r="AF16" s="50">
        <v>14</v>
      </c>
      <c r="AG16" s="55">
        <v>36</v>
      </c>
      <c r="AH16" s="52">
        <f t="shared" si="2"/>
        <v>14</v>
      </c>
      <c r="AI16" s="53">
        <f t="shared" si="3"/>
        <v>14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8.5</v>
      </c>
      <c r="C18" s="50">
        <v>8.8000000000000007</v>
      </c>
      <c r="D18" s="50">
        <v>8.8000000000000007</v>
      </c>
      <c r="E18" s="50">
        <v>8.8000000000000007</v>
      </c>
      <c r="F18" s="50">
        <v>8.8000000000000007</v>
      </c>
      <c r="G18" s="50">
        <v>8.8000000000000007</v>
      </c>
      <c r="H18" s="50">
        <v>8.8000000000000007</v>
      </c>
      <c r="I18" s="50">
        <v>8.8000000000000007</v>
      </c>
      <c r="J18" s="50">
        <v>8.8000000000000007</v>
      </c>
      <c r="K18" s="50">
        <v>8.8000000000000007</v>
      </c>
      <c r="L18" s="50">
        <v>8.8000000000000007</v>
      </c>
      <c r="M18" s="50">
        <v>8.8000000000000007</v>
      </c>
      <c r="N18" s="50">
        <v>8.8000000000000007</v>
      </c>
      <c r="O18" s="50">
        <v>8.8000000000000007</v>
      </c>
      <c r="P18" s="50">
        <v>8.8000000000000007</v>
      </c>
      <c r="Q18" s="50">
        <v>8.8000000000000007</v>
      </c>
      <c r="R18" s="50">
        <v>8.8000000000000007</v>
      </c>
      <c r="S18" s="50">
        <v>8.8000000000000007</v>
      </c>
      <c r="T18" s="50">
        <v>8.8000000000000007</v>
      </c>
      <c r="U18" s="50">
        <v>8.8000000000000007</v>
      </c>
      <c r="V18" s="50">
        <v>8.8000000000000007</v>
      </c>
      <c r="W18" s="50">
        <v>8.8000000000000007</v>
      </c>
      <c r="X18" s="50">
        <v>8.8000000000000007</v>
      </c>
      <c r="Y18" s="50">
        <v>8.8000000000000007</v>
      </c>
      <c r="Z18" s="50">
        <v>8.8000000000000007</v>
      </c>
      <c r="AA18" s="50">
        <v>8.8000000000000007</v>
      </c>
      <c r="AB18" s="50">
        <v>8.8000000000000007</v>
      </c>
      <c r="AC18" s="50">
        <v>8.8000000000000007</v>
      </c>
      <c r="AD18" s="50">
        <v>8.8000000000000007</v>
      </c>
      <c r="AE18" s="50">
        <v>8.8000000000000007</v>
      </c>
      <c r="AF18" s="50">
        <v>8.8000000000000007</v>
      </c>
      <c r="AG18" s="56">
        <v>30</v>
      </c>
      <c r="AH18" s="52">
        <f t="shared" si="2"/>
        <v>8.8000000000000007</v>
      </c>
      <c r="AI18" s="53">
        <f t="shared" si="3"/>
        <v>8.5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6.6</v>
      </c>
      <c r="C19" s="50">
        <v>6.6</v>
      </c>
      <c r="D19" s="50">
        <v>6.6</v>
      </c>
      <c r="E19" s="50">
        <v>6.6</v>
      </c>
      <c r="F19" s="50">
        <v>6.6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6.6</v>
      </c>
      <c r="N19" s="50">
        <v>6.6</v>
      </c>
      <c r="O19" s="50">
        <v>6.6</v>
      </c>
      <c r="P19" s="50">
        <v>6.6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6.6</v>
      </c>
      <c r="AA19" s="50">
        <v>6.6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6.6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11</v>
      </c>
      <c r="C20" s="50">
        <v>11</v>
      </c>
      <c r="D20" s="50">
        <v>11</v>
      </c>
      <c r="E20" s="50">
        <v>11</v>
      </c>
      <c r="F20" s="50">
        <v>11</v>
      </c>
      <c r="G20" s="50">
        <v>11</v>
      </c>
      <c r="H20" s="50">
        <v>11</v>
      </c>
      <c r="I20" s="50">
        <v>11</v>
      </c>
      <c r="J20" s="50">
        <v>11</v>
      </c>
      <c r="K20" s="50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55">
        <v>28</v>
      </c>
      <c r="AH20" s="52">
        <f t="shared" si="2"/>
        <v>11</v>
      </c>
      <c r="AI20" s="53">
        <f t="shared" si="3"/>
        <v>11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6.5</v>
      </c>
      <c r="C21" s="50">
        <v>6.5</v>
      </c>
      <c r="D21" s="50">
        <v>6.5</v>
      </c>
      <c r="E21" s="50">
        <v>6.5</v>
      </c>
      <c r="F21" s="50">
        <v>6.5</v>
      </c>
      <c r="G21" s="50">
        <v>6.5</v>
      </c>
      <c r="H21" s="50">
        <v>6.5</v>
      </c>
      <c r="I21" s="50">
        <v>6.5</v>
      </c>
      <c r="J21" s="50">
        <v>6.5</v>
      </c>
      <c r="K21" s="50">
        <v>6.5</v>
      </c>
      <c r="L21" s="50">
        <v>6.5</v>
      </c>
      <c r="M21" s="50">
        <v>6.5</v>
      </c>
      <c r="N21" s="50">
        <v>6.5</v>
      </c>
      <c r="O21" s="50">
        <v>6.5</v>
      </c>
      <c r="P21" s="50">
        <v>6.5</v>
      </c>
      <c r="Q21" s="50">
        <v>6.5</v>
      </c>
      <c r="R21" s="50">
        <v>6.5</v>
      </c>
      <c r="S21" s="50">
        <v>6.5</v>
      </c>
      <c r="T21" s="50">
        <v>6.5</v>
      </c>
      <c r="U21" s="50">
        <v>6.5</v>
      </c>
      <c r="V21" s="50">
        <v>6.5</v>
      </c>
      <c r="W21" s="50">
        <v>6.5</v>
      </c>
      <c r="X21" s="50">
        <v>6.5</v>
      </c>
      <c r="Y21" s="50">
        <v>6.5</v>
      </c>
      <c r="Z21" s="50">
        <v>6.5</v>
      </c>
      <c r="AA21" s="50">
        <v>6.5</v>
      </c>
      <c r="AB21" s="50">
        <v>6.5</v>
      </c>
      <c r="AC21" s="50">
        <v>6.5</v>
      </c>
      <c r="AD21" s="50">
        <v>6.5</v>
      </c>
      <c r="AE21" s="50">
        <v>6.5</v>
      </c>
      <c r="AF21" s="50">
        <v>6.5</v>
      </c>
      <c r="AG21" s="56">
        <v>30</v>
      </c>
      <c r="AH21" s="52">
        <f t="shared" si="2"/>
        <v>6.5</v>
      </c>
      <c r="AI21" s="53">
        <f t="shared" si="3"/>
        <v>6.5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8.6</v>
      </c>
      <c r="C22" s="50">
        <v>9</v>
      </c>
      <c r="D22" s="50">
        <v>9</v>
      </c>
      <c r="E22" s="50">
        <v>9</v>
      </c>
      <c r="F22" s="50">
        <v>9</v>
      </c>
      <c r="G22" s="50">
        <v>9</v>
      </c>
      <c r="H22" s="50">
        <v>9</v>
      </c>
      <c r="I22" s="50">
        <v>9</v>
      </c>
      <c r="J22" s="50">
        <v>9</v>
      </c>
      <c r="K22" s="50">
        <v>9</v>
      </c>
      <c r="L22" s="50">
        <v>9</v>
      </c>
      <c r="M22" s="50">
        <v>9</v>
      </c>
      <c r="N22" s="50">
        <v>9</v>
      </c>
      <c r="O22" s="50">
        <v>9</v>
      </c>
      <c r="P22" s="50">
        <v>9</v>
      </c>
      <c r="Q22" s="50">
        <v>9</v>
      </c>
      <c r="R22" s="50">
        <v>9</v>
      </c>
      <c r="S22" s="50">
        <v>9</v>
      </c>
      <c r="T22" s="50">
        <v>9</v>
      </c>
      <c r="U22" s="50">
        <v>9</v>
      </c>
      <c r="V22" s="50">
        <v>9</v>
      </c>
      <c r="W22" s="50">
        <v>9</v>
      </c>
      <c r="X22" s="50">
        <v>9</v>
      </c>
      <c r="Y22" s="50">
        <v>9</v>
      </c>
      <c r="Z22" s="50">
        <v>9</v>
      </c>
      <c r="AA22" s="50">
        <v>9</v>
      </c>
      <c r="AB22" s="50">
        <v>9</v>
      </c>
      <c r="AC22" s="50">
        <v>9</v>
      </c>
      <c r="AD22" s="50">
        <v>9</v>
      </c>
      <c r="AE22" s="50">
        <v>9</v>
      </c>
      <c r="AF22" s="50">
        <v>9</v>
      </c>
      <c r="AG22" s="55">
        <v>25</v>
      </c>
      <c r="AH22" s="52">
        <f t="shared" si="2"/>
        <v>9</v>
      </c>
      <c r="AI22" s="53">
        <f t="shared" si="3"/>
        <v>8.6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9.4</v>
      </c>
      <c r="C23" s="50">
        <v>9.4</v>
      </c>
      <c r="D23" s="50">
        <v>9.4</v>
      </c>
      <c r="E23" s="50">
        <v>9.4</v>
      </c>
      <c r="F23" s="50">
        <v>9.4</v>
      </c>
      <c r="G23" s="50">
        <v>9.4</v>
      </c>
      <c r="H23" s="50">
        <v>9.4</v>
      </c>
      <c r="I23" s="50">
        <v>9.4</v>
      </c>
      <c r="J23" s="50">
        <v>9.4</v>
      </c>
      <c r="K23" s="50">
        <v>9.4</v>
      </c>
      <c r="L23" s="50">
        <v>9.4</v>
      </c>
      <c r="M23" s="50">
        <v>9.4</v>
      </c>
      <c r="N23" s="50">
        <v>9.4</v>
      </c>
      <c r="O23" s="50">
        <v>9.4</v>
      </c>
      <c r="P23" s="50">
        <v>9.4</v>
      </c>
      <c r="Q23" s="50">
        <v>9.4</v>
      </c>
      <c r="R23" s="50">
        <v>9.4</v>
      </c>
      <c r="S23" s="50">
        <v>9.4</v>
      </c>
      <c r="T23" s="50">
        <v>9.4</v>
      </c>
      <c r="U23" s="50">
        <v>9.4</v>
      </c>
      <c r="V23" s="50">
        <v>9.4</v>
      </c>
      <c r="W23" s="50">
        <v>9.4</v>
      </c>
      <c r="X23" s="50">
        <v>9.4</v>
      </c>
      <c r="Y23" s="50">
        <v>9.4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5">
        <v>25</v>
      </c>
      <c r="AH23" s="52">
        <f t="shared" si="2"/>
        <v>9.4</v>
      </c>
      <c r="AI23" s="53">
        <f t="shared" si="3"/>
        <v>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6.4</v>
      </c>
      <c r="C26" s="50">
        <v>6.6</v>
      </c>
      <c r="D26" s="50">
        <v>6.8</v>
      </c>
      <c r="E26" s="50">
        <v>6.8</v>
      </c>
      <c r="F26" s="50">
        <v>6.8</v>
      </c>
      <c r="G26" s="50">
        <v>6.8</v>
      </c>
      <c r="H26" s="50">
        <v>6.8</v>
      </c>
      <c r="I26" s="50">
        <v>6.8</v>
      </c>
      <c r="J26" s="50">
        <v>6.8</v>
      </c>
      <c r="K26" s="50">
        <v>6.8</v>
      </c>
      <c r="L26" s="50">
        <v>6.8</v>
      </c>
      <c r="M26" s="50">
        <v>6.8</v>
      </c>
      <c r="N26" s="50">
        <v>6.8</v>
      </c>
      <c r="O26" s="50">
        <v>6.8</v>
      </c>
      <c r="P26" s="50">
        <v>6.8</v>
      </c>
      <c r="Q26" s="50">
        <v>6.8</v>
      </c>
      <c r="R26" s="50">
        <v>6.8</v>
      </c>
      <c r="S26" s="50">
        <v>6.8</v>
      </c>
      <c r="T26" s="50">
        <v>6.8</v>
      </c>
      <c r="U26" s="50">
        <v>6.8</v>
      </c>
      <c r="V26" s="50">
        <v>6.8</v>
      </c>
      <c r="W26" s="50">
        <v>6.8</v>
      </c>
      <c r="X26" s="50">
        <v>6.8</v>
      </c>
      <c r="Y26" s="50">
        <v>6.8</v>
      </c>
      <c r="Z26" s="50">
        <v>6.8</v>
      </c>
      <c r="AA26" s="50">
        <v>6.8</v>
      </c>
      <c r="AB26" s="50">
        <v>6.8</v>
      </c>
      <c r="AC26" s="50">
        <v>6.8</v>
      </c>
      <c r="AD26" s="50">
        <v>6.8</v>
      </c>
      <c r="AE26" s="50">
        <v>6.8</v>
      </c>
      <c r="AF26" s="50">
        <v>6.8</v>
      </c>
      <c r="AG26" s="55">
        <v>23.5</v>
      </c>
      <c r="AH26" s="52">
        <f t="shared" si="2"/>
        <v>6.8</v>
      </c>
      <c r="AI26" s="53">
        <f t="shared" si="3"/>
        <v>6.4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5">
        <v>22</v>
      </c>
      <c r="AH29" s="52">
        <f t="shared" si="2"/>
        <v>4</v>
      </c>
      <c r="AI29" s="53">
        <f t="shared" si="3"/>
        <v>4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12</v>
      </c>
      <c r="C30" s="50">
        <v>12</v>
      </c>
      <c r="D30" s="50">
        <v>11</v>
      </c>
      <c r="E30" s="50">
        <v>11</v>
      </c>
      <c r="F30" s="50">
        <v>11</v>
      </c>
      <c r="G30" s="50">
        <v>11</v>
      </c>
      <c r="H30" s="50">
        <v>11</v>
      </c>
      <c r="I30" s="50">
        <v>11</v>
      </c>
      <c r="J30" s="50">
        <v>11</v>
      </c>
      <c r="K30" s="50">
        <v>11</v>
      </c>
      <c r="L30" s="50">
        <v>11</v>
      </c>
      <c r="M30" s="50">
        <v>11</v>
      </c>
      <c r="N30" s="50">
        <v>11</v>
      </c>
      <c r="O30" s="50">
        <v>11</v>
      </c>
      <c r="P30" s="50">
        <v>11</v>
      </c>
      <c r="Q30" s="50">
        <v>11</v>
      </c>
      <c r="R30" s="50">
        <v>11</v>
      </c>
      <c r="S30" s="50">
        <v>11</v>
      </c>
      <c r="T30" s="50">
        <v>11</v>
      </c>
      <c r="U30" s="50">
        <v>11</v>
      </c>
      <c r="V30" s="50">
        <v>11</v>
      </c>
      <c r="W30" s="50">
        <v>11</v>
      </c>
      <c r="X30" s="50">
        <v>11</v>
      </c>
      <c r="Y30" s="50">
        <v>11</v>
      </c>
      <c r="Z30" s="50">
        <v>11</v>
      </c>
      <c r="AA30" s="50">
        <v>11</v>
      </c>
      <c r="AB30" s="50">
        <v>11</v>
      </c>
      <c r="AC30" s="50">
        <v>11</v>
      </c>
      <c r="AD30" s="50">
        <v>11</v>
      </c>
      <c r="AE30" s="50">
        <v>11</v>
      </c>
      <c r="AF30" s="50">
        <v>11</v>
      </c>
      <c r="AG30" s="55">
        <v>22</v>
      </c>
      <c r="AH30" s="52">
        <f t="shared" si="2"/>
        <v>12</v>
      </c>
      <c r="AI30" s="53">
        <f t="shared" si="3"/>
        <v>11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55">
        <v>20</v>
      </c>
      <c r="AH31" s="52">
        <f t="shared" si="2"/>
        <v>6</v>
      </c>
      <c r="AI31" s="53">
        <f t="shared" si="3"/>
        <v>6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>
        <v>4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5.2</v>
      </c>
      <c r="C38" s="50">
        <v>5.2</v>
      </c>
      <c r="D38" s="50">
        <v>5.2</v>
      </c>
      <c r="E38" s="50">
        <v>5.2</v>
      </c>
      <c r="F38" s="50">
        <v>5.2</v>
      </c>
      <c r="G38" s="50">
        <v>5.2</v>
      </c>
      <c r="H38" s="50">
        <v>5.2</v>
      </c>
      <c r="I38" s="50">
        <v>5.2</v>
      </c>
      <c r="J38" s="50">
        <v>5.2</v>
      </c>
      <c r="K38" s="50">
        <v>5.2</v>
      </c>
      <c r="L38" s="50">
        <v>5.2</v>
      </c>
      <c r="M38" s="50">
        <v>5.2</v>
      </c>
      <c r="N38" s="50">
        <v>5.2</v>
      </c>
      <c r="O38" s="50">
        <v>5.2</v>
      </c>
      <c r="P38" s="50">
        <v>5.2</v>
      </c>
      <c r="Q38" s="50">
        <v>5.2</v>
      </c>
      <c r="R38" s="50">
        <v>5.2</v>
      </c>
      <c r="S38" s="50">
        <v>5.2</v>
      </c>
      <c r="T38" s="50">
        <v>5.2</v>
      </c>
      <c r="U38" s="50">
        <v>5.2</v>
      </c>
      <c r="V38" s="50">
        <v>5.2</v>
      </c>
      <c r="W38" s="50">
        <v>5.2</v>
      </c>
      <c r="X38" s="50">
        <v>5.2</v>
      </c>
      <c r="Y38" s="50">
        <v>5.2</v>
      </c>
      <c r="Z38" s="50">
        <v>5.2</v>
      </c>
      <c r="AA38" s="50">
        <v>5.2</v>
      </c>
      <c r="AB38" s="50">
        <v>5.2</v>
      </c>
      <c r="AC38" s="50">
        <v>5.2</v>
      </c>
      <c r="AD38" s="50">
        <v>5.2</v>
      </c>
      <c r="AE38" s="50">
        <v>5.2</v>
      </c>
      <c r="AF38" s="50">
        <v>5.2</v>
      </c>
      <c r="AG38" s="55">
        <v>12</v>
      </c>
      <c r="AH38" s="52">
        <f t="shared" si="2"/>
        <v>5.2</v>
      </c>
      <c r="AI38" s="53">
        <f t="shared" si="3"/>
        <v>5.2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50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3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120</v>
      </c>
      <c r="C46" s="63">
        <v>120</v>
      </c>
      <c r="D46" s="63">
        <v>120</v>
      </c>
      <c r="E46" s="63">
        <v>120</v>
      </c>
      <c r="F46" s="63">
        <v>120</v>
      </c>
      <c r="G46" s="63">
        <v>120</v>
      </c>
      <c r="H46" s="63">
        <v>120</v>
      </c>
      <c r="I46" s="63">
        <v>120</v>
      </c>
      <c r="J46" s="63">
        <v>120</v>
      </c>
      <c r="K46" s="63">
        <v>120</v>
      </c>
      <c r="L46" s="63">
        <v>120</v>
      </c>
      <c r="M46" s="63">
        <v>120</v>
      </c>
      <c r="N46" s="63">
        <v>120</v>
      </c>
      <c r="O46" s="63">
        <v>120</v>
      </c>
      <c r="P46" s="63">
        <v>120</v>
      </c>
      <c r="Q46" s="63">
        <v>120</v>
      </c>
      <c r="R46" s="63">
        <v>120</v>
      </c>
      <c r="S46" s="63">
        <v>120</v>
      </c>
      <c r="T46" s="63">
        <v>120</v>
      </c>
      <c r="U46" s="63">
        <v>120</v>
      </c>
      <c r="V46" s="63">
        <v>120</v>
      </c>
      <c r="W46" s="63">
        <v>120</v>
      </c>
      <c r="X46" s="63">
        <v>120</v>
      </c>
      <c r="Y46" s="63">
        <v>120</v>
      </c>
      <c r="Z46" s="63">
        <v>120</v>
      </c>
      <c r="AA46" s="63">
        <v>120</v>
      </c>
      <c r="AB46" s="63">
        <v>120</v>
      </c>
      <c r="AC46" s="63">
        <v>120</v>
      </c>
      <c r="AD46" s="63">
        <v>120</v>
      </c>
      <c r="AE46" s="63">
        <v>120</v>
      </c>
      <c r="AF46" s="63">
        <v>120</v>
      </c>
      <c r="AG46" s="61">
        <v>85</v>
      </c>
      <c r="AH46" s="52">
        <f t="shared" si="2"/>
        <v>120</v>
      </c>
      <c r="AI46" s="53">
        <f t="shared" si="3"/>
        <v>120</v>
      </c>
      <c r="AK46" s="54"/>
    </row>
    <row r="47" spans="1:88" ht="15.75" thickBot="1" x14ac:dyDescent="0.3">
      <c r="A47" s="64" t="s">
        <v>55</v>
      </c>
      <c r="B47" s="63"/>
      <c r="C47" s="63"/>
      <c r="D47" s="63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>SUM(B11:B46)</f>
        <v>384.29999999999995</v>
      </c>
      <c r="C48" s="67">
        <f t="shared" ref="C48:G48" si="4">SUM(C11:C46)</f>
        <v>383.9</v>
      </c>
      <c r="D48" s="67">
        <f t="shared" si="4"/>
        <v>386.29999999999995</v>
      </c>
      <c r="E48" s="67">
        <f t="shared" si="4"/>
        <v>386.29999999999995</v>
      </c>
      <c r="F48" s="67">
        <f t="shared" si="4"/>
        <v>386.29999999999995</v>
      </c>
      <c r="G48" s="67">
        <f t="shared" si="4"/>
        <v>386.29999999999995</v>
      </c>
      <c r="H48" s="67">
        <f>SUM(H11:H46)</f>
        <v>386.29999999999995</v>
      </c>
      <c r="I48" s="67">
        <f t="shared" ref="I48:AF48" si="5">SUM(I11:I46)</f>
        <v>386.29999999999995</v>
      </c>
      <c r="J48" s="67">
        <f t="shared" si="5"/>
        <v>386.29999999999995</v>
      </c>
      <c r="K48" s="67">
        <f t="shared" si="5"/>
        <v>386.29999999999995</v>
      </c>
      <c r="L48" s="67">
        <f t="shared" si="5"/>
        <v>386.29999999999995</v>
      </c>
      <c r="M48" s="67">
        <f t="shared" si="5"/>
        <v>386.29999999999995</v>
      </c>
      <c r="N48" s="67">
        <f t="shared" si="5"/>
        <v>386.29999999999995</v>
      </c>
      <c r="O48" s="67">
        <f t="shared" si="5"/>
        <v>386.29999999999995</v>
      </c>
      <c r="P48" s="67">
        <f t="shared" si="5"/>
        <v>386.29999999999995</v>
      </c>
      <c r="Q48" s="67">
        <f t="shared" si="5"/>
        <v>386.29999999999995</v>
      </c>
      <c r="R48" s="67">
        <f t="shared" si="5"/>
        <v>386.29999999999995</v>
      </c>
      <c r="S48" s="67">
        <f t="shared" si="5"/>
        <v>386.29999999999995</v>
      </c>
      <c r="T48" s="67">
        <f t="shared" si="5"/>
        <v>386.29999999999995</v>
      </c>
      <c r="U48" s="67">
        <f t="shared" si="5"/>
        <v>386.29999999999995</v>
      </c>
      <c r="V48" s="67">
        <f t="shared" si="5"/>
        <v>386.29999999999995</v>
      </c>
      <c r="W48" s="67">
        <f t="shared" si="5"/>
        <v>386.29999999999995</v>
      </c>
      <c r="X48" s="67">
        <f t="shared" si="5"/>
        <v>386.29999999999995</v>
      </c>
      <c r="Y48" s="67">
        <f t="shared" si="5"/>
        <v>386.29999999999995</v>
      </c>
      <c r="Z48" s="67">
        <v>352.9</v>
      </c>
      <c r="AA48" s="67">
        <f t="shared" si="5"/>
        <v>376.9</v>
      </c>
      <c r="AB48" s="67">
        <f t="shared" si="5"/>
        <v>376.9</v>
      </c>
      <c r="AC48" s="67">
        <f t="shared" si="5"/>
        <v>376.9</v>
      </c>
      <c r="AD48" s="67">
        <f t="shared" si="5"/>
        <v>376.9</v>
      </c>
      <c r="AE48" s="67">
        <f t="shared" si="5"/>
        <v>376.9</v>
      </c>
      <c r="AF48" s="67">
        <f t="shared" si="5"/>
        <v>376.9</v>
      </c>
      <c r="AG48" s="68">
        <f t="shared" ref="AG48" si="6">SUM(AG12:AG46)</f>
        <v>875.68</v>
      </c>
      <c r="AH48" s="52">
        <f t="shared" si="2"/>
        <v>386.29999999999995</v>
      </c>
      <c r="AI48" s="53">
        <f t="shared" si="3"/>
        <v>352.9</v>
      </c>
      <c r="AK48" s="54"/>
    </row>
    <row r="49" spans="1:41" x14ac:dyDescent="0.25">
      <c r="A49" s="69" t="s">
        <v>57</v>
      </c>
      <c r="B49" s="50">
        <v>90</v>
      </c>
      <c r="C49" s="50">
        <v>80</v>
      </c>
      <c r="D49" s="50">
        <v>140</v>
      </c>
      <c r="E49" s="50">
        <v>140</v>
      </c>
      <c r="F49" s="50">
        <v>140</v>
      </c>
      <c r="G49" s="50">
        <v>140</v>
      </c>
      <c r="H49" s="50">
        <v>120</v>
      </c>
      <c r="I49" s="50">
        <v>120</v>
      </c>
      <c r="J49" s="50">
        <v>80</v>
      </c>
      <c r="K49" s="50">
        <v>60</v>
      </c>
      <c r="L49" s="50">
        <v>60</v>
      </c>
      <c r="M49" s="70">
        <v>40</v>
      </c>
      <c r="N49" s="70">
        <v>0</v>
      </c>
      <c r="O49" s="70">
        <v>0</v>
      </c>
      <c r="P49" s="50">
        <v>37</v>
      </c>
      <c r="Q49" s="50">
        <v>40</v>
      </c>
      <c r="R49" s="50">
        <v>67</v>
      </c>
      <c r="S49" s="50">
        <v>67</v>
      </c>
      <c r="T49" s="50">
        <v>67</v>
      </c>
      <c r="U49" s="50">
        <v>55</v>
      </c>
      <c r="V49" s="50">
        <v>85</v>
      </c>
      <c r="W49" s="50">
        <v>55</v>
      </c>
      <c r="X49" s="50">
        <v>55</v>
      </c>
      <c r="Y49" s="50">
        <v>100</v>
      </c>
      <c r="Z49" s="50">
        <v>145</v>
      </c>
      <c r="AA49" s="50">
        <v>135.30000000000001</v>
      </c>
      <c r="AB49" s="50">
        <v>135</v>
      </c>
      <c r="AC49" s="50">
        <v>135</v>
      </c>
      <c r="AD49" s="50">
        <v>136</v>
      </c>
      <c r="AE49" s="50">
        <v>88</v>
      </c>
      <c r="AF49" s="50">
        <v>25</v>
      </c>
      <c r="AG49" s="56">
        <v>456</v>
      </c>
      <c r="AH49" s="52">
        <f t="shared" si="2"/>
        <v>145</v>
      </c>
      <c r="AI49" s="53">
        <f t="shared" si="3"/>
        <v>0</v>
      </c>
      <c r="AK49" s="54"/>
    </row>
    <row r="50" spans="1:41" x14ac:dyDescent="0.25">
      <c r="A50" s="71" t="s">
        <v>58</v>
      </c>
      <c r="B50" s="72">
        <v>30</v>
      </c>
      <c r="C50" s="72">
        <v>30</v>
      </c>
      <c r="D50" s="72">
        <v>30</v>
      </c>
      <c r="E50" s="72">
        <v>30</v>
      </c>
      <c r="F50" s="72">
        <v>30</v>
      </c>
      <c r="G50" s="72">
        <v>30</v>
      </c>
      <c r="H50" s="72">
        <v>30</v>
      </c>
      <c r="I50" s="72">
        <v>30</v>
      </c>
      <c r="J50" s="72">
        <v>30</v>
      </c>
      <c r="K50" s="72">
        <v>30</v>
      </c>
      <c r="L50" s="72">
        <v>30</v>
      </c>
      <c r="M50" s="72">
        <v>30</v>
      </c>
      <c r="N50" s="72">
        <v>30</v>
      </c>
      <c r="O50" s="72">
        <v>30</v>
      </c>
      <c r="P50" s="72">
        <v>30</v>
      </c>
      <c r="Q50" s="72">
        <v>30</v>
      </c>
      <c r="R50" s="72">
        <v>30</v>
      </c>
      <c r="S50" s="72">
        <v>30</v>
      </c>
      <c r="T50" s="72">
        <v>30</v>
      </c>
      <c r="U50" s="72">
        <v>30</v>
      </c>
      <c r="V50" s="72">
        <v>30</v>
      </c>
      <c r="W50" s="72">
        <v>30</v>
      </c>
      <c r="X50" s="72">
        <v>30</v>
      </c>
      <c r="Y50" s="72">
        <v>30</v>
      </c>
      <c r="Z50" s="72">
        <v>30</v>
      </c>
      <c r="AA50" s="72">
        <v>30</v>
      </c>
      <c r="AB50" s="72">
        <v>30</v>
      </c>
      <c r="AC50" s="72">
        <v>30</v>
      </c>
      <c r="AD50" s="72">
        <v>30</v>
      </c>
      <c r="AE50" s="72">
        <v>30</v>
      </c>
      <c r="AF50" s="72">
        <v>30</v>
      </c>
      <c r="AG50" s="61">
        <v>60</v>
      </c>
      <c r="AH50" s="52">
        <f t="shared" si="2"/>
        <v>30</v>
      </c>
      <c r="AI50" s="53">
        <f t="shared" si="3"/>
        <v>30</v>
      </c>
      <c r="AK50" s="54"/>
    </row>
    <row r="51" spans="1:41" ht="15.75" thickBot="1" x14ac:dyDescent="0.3">
      <c r="A51" s="73" t="s">
        <v>59</v>
      </c>
      <c r="B51" s="74">
        <v>9.6999999999999993</v>
      </c>
      <c r="C51" s="74">
        <v>9.6999999999999993</v>
      </c>
      <c r="D51" s="74">
        <v>9.6999999999999993</v>
      </c>
      <c r="E51" s="74">
        <v>9.6999999999999993</v>
      </c>
      <c r="F51" s="74">
        <v>9.6999999999999993</v>
      </c>
      <c r="G51" s="74">
        <v>9.6999999999999993</v>
      </c>
      <c r="H51" s="74">
        <v>9.6999999999999993</v>
      </c>
      <c r="I51" s="74">
        <v>9.6999999999999993</v>
      </c>
      <c r="J51" s="74">
        <v>9.6999999999999993</v>
      </c>
      <c r="K51" s="74">
        <v>11.1</v>
      </c>
      <c r="L51" s="74">
        <v>11.1</v>
      </c>
      <c r="M51" s="74">
        <v>11.3</v>
      </c>
      <c r="N51" s="74">
        <v>10.5</v>
      </c>
      <c r="O51" s="74">
        <v>10.5</v>
      </c>
      <c r="P51" s="74">
        <v>9.5</v>
      </c>
      <c r="Q51" s="74">
        <v>9.5</v>
      </c>
      <c r="R51" s="74">
        <v>10</v>
      </c>
      <c r="S51" s="74">
        <v>10</v>
      </c>
      <c r="T51" s="74">
        <v>10</v>
      </c>
      <c r="U51" s="74">
        <v>10</v>
      </c>
      <c r="V51" s="74">
        <v>10</v>
      </c>
      <c r="W51" s="74">
        <v>10</v>
      </c>
      <c r="X51" s="74">
        <v>10</v>
      </c>
      <c r="Y51" s="74">
        <v>10</v>
      </c>
      <c r="Z51" s="74">
        <v>10</v>
      </c>
      <c r="AA51" s="74">
        <v>10</v>
      </c>
      <c r="AB51" s="74">
        <v>10.199999999999999</v>
      </c>
      <c r="AC51" s="74">
        <v>10.1</v>
      </c>
      <c r="AD51" s="74">
        <v>10.1</v>
      </c>
      <c r="AE51" s="74">
        <v>10.1</v>
      </c>
      <c r="AF51" s="74">
        <v>10.1</v>
      </c>
      <c r="AG51" s="75">
        <v>22.1</v>
      </c>
      <c r="AH51" s="52">
        <f t="shared" si="2"/>
        <v>11.3</v>
      </c>
      <c r="AI51" s="53">
        <f t="shared" si="3"/>
        <v>9.5</v>
      </c>
      <c r="AK51" s="54"/>
    </row>
    <row r="52" spans="1:41" ht="15.75" thickBot="1" x14ac:dyDescent="0.3">
      <c r="A52" s="76" t="s">
        <v>60</v>
      </c>
      <c r="B52" s="67">
        <f t="shared" ref="B52" si="7">SUM(B49:B51)</f>
        <v>129.69999999999999</v>
      </c>
      <c r="C52" s="67">
        <f t="shared" ref="C52:AG52" si="8">SUM(C49:C51)</f>
        <v>119.7</v>
      </c>
      <c r="D52" s="67">
        <f t="shared" ref="D52" si="9">SUM(D49:D51)</f>
        <v>179.7</v>
      </c>
      <c r="E52" s="67">
        <f t="shared" si="8"/>
        <v>179.7</v>
      </c>
      <c r="F52" s="67">
        <f t="shared" si="8"/>
        <v>179.7</v>
      </c>
      <c r="G52" s="67">
        <f t="shared" si="8"/>
        <v>179.7</v>
      </c>
      <c r="H52" s="67">
        <f t="shared" si="8"/>
        <v>159.69999999999999</v>
      </c>
      <c r="I52" s="67">
        <f t="shared" si="8"/>
        <v>159.69999999999999</v>
      </c>
      <c r="J52" s="67">
        <f t="shared" si="8"/>
        <v>119.7</v>
      </c>
      <c r="K52" s="67">
        <f t="shared" si="8"/>
        <v>101.1</v>
      </c>
      <c r="L52" s="67">
        <f t="shared" si="8"/>
        <v>101.1</v>
      </c>
      <c r="M52" s="67">
        <f t="shared" si="8"/>
        <v>81.3</v>
      </c>
      <c r="N52" s="67">
        <f t="shared" si="8"/>
        <v>40.5</v>
      </c>
      <c r="O52" s="67">
        <f t="shared" si="8"/>
        <v>40.5</v>
      </c>
      <c r="P52" s="67">
        <f t="shared" si="8"/>
        <v>76.5</v>
      </c>
      <c r="Q52" s="67">
        <f t="shared" si="8"/>
        <v>79.5</v>
      </c>
      <c r="R52" s="67">
        <f t="shared" si="8"/>
        <v>107</v>
      </c>
      <c r="S52" s="67">
        <f t="shared" si="8"/>
        <v>107</v>
      </c>
      <c r="T52" s="67">
        <f t="shared" si="8"/>
        <v>107</v>
      </c>
      <c r="U52" s="67">
        <f t="shared" si="8"/>
        <v>95</v>
      </c>
      <c r="V52" s="67">
        <f t="shared" si="8"/>
        <v>125</v>
      </c>
      <c r="W52" s="67">
        <f t="shared" si="8"/>
        <v>95</v>
      </c>
      <c r="X52" s="67">
        <f t="shared" si="8"/>
        <v>95</v>
      </c>
      <c r="Y52" s="67">
        <f t="shared" si="8"/>
        <v>140</v>
      </c>
      <c r="Z52" s="67">
        <v>185</v>
      </c>
      <c r="AA52" s="67">
        <f t="shared" si="8"/>
        <v>175.3</v>
      </c>
      <c r="AB52" s="67">
        <f t="shared" si="8"/>
        <v>175.2</v>
      </c>
      <c r="AC52" s="67">
        <f t="shared" si="8"/>
        <v>175.1</v>
      </c>
      <c r="AD52" s="67">
        <f t="shared" si="8"/>
        <v>176.1</v>
      </c>
      <c r="AE52" s="67">
        <f t="shared" si="8"/>
        <v>128.1</v>
      </c>
      <c r="AF52" s="67">
        <f t="shared" si="8"/>
        <v>65.099999999999994</v>
      </c>
      <c r="AG52" s="68">
        <f t="shared" si="8"/>
        <v>538.1</v>
      </c>
      <c r="AH52" s="52">
        <f t="shared" si="2"/>
        <v>185</v>
      </c>
      <c r="AI52" s="53">
        <f t="shared" si="3"/>
        <v>40.5</v>
      </c>
      <c r="AK52" s="54"/>
    </row>
    <row r="53" spans="1:41" x14ac:dyDescent="0.25">
      <c r="A53" s="49" t="s">
        <v>61</v>
      </c>
      <c r="B53" s="50">
        <v>48.4</v>
      </c>
      <c r="C53" s="50">
        <v>48.5</v>
      </c>
      <c r="D53" s="50">
        <v>48.6</v>
      </c>
      <c r="E53" s="50">
        <v>48.6</v>
      </c>
      <c r="F53" s="50">
        <v>40.5</v>
      </c>
      <c r="G53" s="50">
        <v>46.8</v>
      </c>
      <c r="H53" s="50">
        <v>48.6</v>
      </c>
      <c r="I53" s="50">
        <v>30.1</v>
      </c>
      <c r="J53" s="50">
        <v>30.4</v>
      </c>
      <c r="K53" s="50">
        <v>30.5</v>
      </c>
      <c r="L53" s="50">
        <v>30.5</v>
      </c>
      <c r="M53" s="50">
        <v>30.5</v>
      </c>
      <c r="N53" s="50">
        <v>30.9</v>
      </c>
      <c r="O53" s="50">
        <v>48.5</v>
      </c>
      <c r="P53" s="50">
        <v>97</v>
      </c>
      <c r="Q53" s="50">
        <v>97</v>
      </c>
      <c r="R53" s="50">
        <v>97</v>
      </c>
      <c r="S53" s="50">
        <v>97</v>
      </c>
      <c r="T53" s="50">
        <v>97</v>
      </c>
      <c r="U53" s="50">
        <v>97.2</v>
      </c>
      <c r="V53" s="50">
        <v>70</v>
      </c>
      <c r="W53" s="50">
        <v>61.1</v>
      </c>
      <c r="X53" s="50">
        <v>61.1</v>
      </c>
      <c r="Y53" s="50">
        <v>61.1</v>
      </c>
      <c r="Z53" s="50">
        <v>94.7</v>
      </c>
      <c r="AA53" s="50">
        <v>95.2</v>
      </c>
      <c r="AB53" s="50">
        <v>95</v>
      </c>
      <c r="AC53" s="50">
        <v>95.1</v>
      </c>
      <c r="AD53" s="50">
        <v>71.099999999999994</v>
      </c>
      <c r="AE53" s="50">
        <v>45.5</v>
      </c>
      <c r="AF53" s="50">
        <v>45.5</v>
      </c>
      <c r="AG53" s="56">
        <v>144</v>
      </c>
      <c r="AH53" s="52">
        <f t="shared" si="2"/>
        <v>97.2</v>
      </c>
      <c r="AI53" s="53">
        <f t="shared" si="3"/>
        <v>30.1</v>
      </c>
      <c r="AK53" s="54"/>
    </row>
    <row r="54" spans="1:41" x14ac:dyDescent="0.25">
      <c r="A54" s="60" t="s">
        <v>62</v>
      </c>
      <c r="B54" s="72">
        <v>24.6</v>
      </c>
      <c r="C54" s="72">
        <v>22.9</v>
      </c>
      <c r="D54" s="72">
        <v>25</v>
      </c>
      <c r="E54" s="72">
        <v>25</v>
      </c>
      <c r="F54" s="72">
        <v>24.2</v>
      </c>
      <c r="G54" s="72">
        <v>31.6</v>
      </c>
      <c r="H54" s="72">
        <v>35.700000000000003</v>
      </c>
      <c r="I54" s="72">
        <v>28</v>
      </c>
      <c r="J54" s="72">
        <v>22.9</v>
      </c>
      <c r="K54" s="72">
        <v>30.8</v>
      </c>
      <c r="L54" s="72">
        <v>32.299999999999997</v>
      </c>
      <c r="M54" s="72">
        <v>21.7</v>
      </c>
      <c r="N54" s="72">
        <v>20.9</v>
      </c>
      <c r="O54" s="72">
        <v>20.9</v>
      </c>
      <c r="P54" s="72">
        <v>25.5</v>
      </c>
      <c r="Q54" s="72">
        <v>49</v>
      </c>
      <c r="R54" s="72">
        <v>60</v>
      </c>
      <c r="S54" s="72">
        <v>35.700000000000003</v>
      </c>
      <c r="T54" s="72">
        <v>35.700000000000003</v>
      </c>
      <c r="U54" s="72">
        <v>35</v>
      </c>
      <c r="V54" s="50">
        <v>23.7</v>
      </c>
      <c r="W54" s="50">
        <v>30.1</v>
      </c>
      <c r="X54" s="50">
        <v>30.1</v>
      </c>
      <c r="Y54" s="50">
        <v>30.1</v>
      </c>
      <c r="Z54" s="50">
        <v>35.5</v>
      </c>
      <c r="AA54" s="50">
        <v>34.6</v>
      </c>
      <c r="AB54" s="72">
        <v>34.6</v>
      </c>
      <c r="AC54" s="72">
        <v>30</v>
      </c>
      <c r="AD54" s="72">
        <v>31</v>
      </c>
      <c r="AE54" s="72">
        <v>22.3</v>
      </c>
      <c r="AF54" s="72">
        <v>23.2</v>
      </c>
      <c r="AG54" s="61">
        <v>70</v>
      </c>
      <c r="AH54" s="52">
        <f t="shared" si="2"/>
        <v>60</v>
      </c>
      <c r="AI54" s="53">
        <f t="shared" si="3"/>
        <v>20.9</v>
      </c>
      <c r="AK54" s="54"/>
    </row>
    <row r="55" spans="1:41" x14ac:dyDescent="0.25">
      <c r="A55" s="60" t="s">
        <v>63</v>
      </c>
      <c r="B55" s="72">
        <v>33.200000000000003</v>
      </c>
      <c r="C55" s="72">
        <v>32.700000000000003</v>
      </c>
      <c r="D55" s="72">
        <v>16.2</v>
      </c>
      <c r="E55" s="72">
        <v>16.2</v>
      </c>
      <c r="F55" s="72">
        <v>16.3</v>
      </c>
      <c r="G55" s="72">
        <v>22.2</v>
      </c>
      <c r="H55" s="72">
        <v>22.6</v>
      </c>
      <c r="I55" s="72">
        <v>15.5</v>
      </c>
      <c r="J55" s="72">
        <v>16.100000000000001</v>
      </c>
      <c r="K55" s="72">
        <v>22.7</v>
      </c>
      <c r="L55" s="72">
        <v>22.7</v>
      </c>
      <c r="M55" s="72">
        <v>0</v>
      </c>
      <c r="N55" s="72">
        <v>0</v>
      </c>
      <c r="O55" s="72">
        <v>0</v>
      </c>
      <c r="P55" s="72">
        <v>35.5</v>
      </c>
      <c r="Q55" s="72">
        <v>61.6</v>
      </c>
      <c r="R55" s="72">
        <v>61.6</v>
      </c>
      <c r="S55" s="72">
        <v>59.6</v>
      </c>
      <c r="T55" s="72">
        <v>59.6</v>
      </c>
      <c r="U55" s="72">
        <v>59.2</v>
      </c>
      <c r="V55" s="50">
        <v>31.6</v>
      </c>
      <c r="W55" s="50">
        <v>21.3</v>
      </c>
      <c r="X55" s="50">
        <v>21.3</v>
      </c>
      <c r="Y55" s="50">
        <v>21.3</v>
      </c>
      <c r="Z55" s="50">
        <v>45.2</v>
      </c>
      <c r="AA55" s="50">
        <v>45.2</v>
      </c>
      <c r="AB55" s="72">
        <v>45.9</v>
      </c>
      <c r="AC55" s="72">
        <v>34.799999999999997</v>
      </c>
      <c r="AD55" s="72">
        <v>33</v>
      </c>
      <c r="AE55" s="72">
        <v>20.5</v>
      </c>
      <c r="AF55" s="72">
        <v>20.74</v>
      </c>
      <c r="AG55" s="61">
        <v>69</v>
      </c>
      <c r="AH55" s="52">
        <f t="shared" si="2"/>
        <v>61.6</v>
      </c>
      <c r="AI55" s="53">
        <f t="shared" si="3"/>
        <v>0</v>
      </c>
      <c r="AK55" s="54"/>
    </row>
    <row r="56" spans="1:41" x14ac:dyDescent="0.25">
      <c r="A56" s="60" t="s">
        <v>64</v>
      </c>
      <c r="B56" s="72">
        <v>37.299999999999997</v>
      </c>
      <c r="C56" s="72">
        <v>37.299999999999997</v>
      </c>
      <c r="D56" s="72">
        <v>37.299999999999997</v>
      </c>
      <c r="E56" s="72">
        <v>37.299999999999997</v>
      </c>
      <c r="F56" s="63">
        <v>37.299999999999997</v>
      </c>
      <c r="G56" s="63">
        <v>37.299999999999997</v>
      </c>
      <c r="H56" s="63">
        <v>37.299999999999997</v>
      </c>
      <c r="I56" s="63">
        <v>37.299999999999997</v>
      </c>
      <c r="J56" s="63">
        <v>37.299999999999997</v>
      </c>
      <c r="K56" s="63">
        <v>37.299999999999997</v>
      </c>
      <c r="L56" s="63">
        <v>37.299999999999997</v>
      </c>
      <c r="M56" s="63">
        <v>37.299999999999997</v>
      </c>
      <c r="N56" s="63">
        <v>37.299999999999997</v>
      </c>
      <c r="O56" s="63">
        <v>37.299999999999997</v>
      </c>
      <c r="P56" s="72">
        <v>36</v>
      </c>
      <c r="Q56" s="72">
        <v>36</v>
      </c>
      <c r="R56" s="72">
        <v>36</v>
      </c>
      <c r="S56" s="72">
        <v>36</v>
      </c>
      <c r="T56" s="72">
        <v>36</v>
      </c>
      <c r="U56" s="72">
        <v>36</v>
      </c>
      <c r="V56" s="72">
        <v>36</v>
      </c>
      <c r="W56" s="72">
        <v>36</v>
      </c>
      <c r="X56" s="72">
        <v>36</v>
      </c>
      <c r="Y56" s="72">
        <v>36</v>
      </c>
      <c r="Z56" s="50">
        <v>34.299999999999997</v>
      </c>
      <c r="AA56" s="50">
        <v>34.299999999999997</v>
      </c>
      <c r="AB56" s="72">
        <v>35.799999999999997</v>
      </c>
      <c r="AC56" s="72">
        <v>37.1</v>
      </c>
      <c r="AD56" s="72">
        <v>36.799999999999997</v>
      </c>
      <c r="AE56" s="72">
        <v>37.1</v>
      </c>
      <c r="AF56" s="72">
        <v>37.1</v>
      </c>
      <c r="AG56" s="61">
        <v>60</v>
      </c>
      <c r="AH56" s="52">
        <f t="shared" si="2"/>
        <v>37.299999999999997</v>
      </c>
      <c r="AI56" s="53">
        <f t="shared" si="3"/>
        <v>34.299999999999997</v>
      </c>
      <c r="AK56" s="54"/>
    </row>
    <row r="57" spans="1:41" x14ac:dyDescent="0.25">
      <c r="A57" s="60" t="s">
        <v>65</v>
      </c>
      <c r="B57" s="72">
        <v>0</v>
      </c>
      <c r="C57" s="72">
        <v>0</v>
      </c>
      <c r="D57" s="72">
        <v>0</v>
      </c>
      <c r="E57" s="72">
        <v>0</v>
      </c>
      <c r="F57" s="63">
        <v>0</v>
      </c>
      <c r="G57" s="63">
        <v>0</v>
      </c>
      <c r="H57" s="63">
        <v>10</v>
      </c>
      <c r="I57" s="63">
        <v>10</v>
      </c>
      <c r="J57" s="63">
        <v>10</v>
      </c>
      <c r="K57" s="63">
        <v>10</v>
      </c>
      <c r="L57" s="63">
        <v>15</v>
      </c>
      <c r="M57" s="63">
        <v>15</v>
      </c>
      <c r="N57" s="63">
        <v>25</v>
      </c>
      <c r="O57" s="63">
        <v>25</v>
      </c>
      <c r="P57" s="72">
        <v>15</v>
      </c>
      <c r="Q57" s="72">
        <v>15</v>
      </c>
      <c r="R57" s="72">
        <v>15</v>
      </c>
      <c r="S57" s="72">
        <v>15</v>
      </c>
      <c r="T57" s="72">
        <v>10</v>
      </c>
      <c r="U57" s="72">
        <v>14</v>
      </c>
      <c r="V57" s="72">
        <v>0</v>
      </c>
      <c r="W57" s="72">
        <v>0</v>
      </c>
      <c r="X57" s="72">
        <v>0</v>
      </c>
      <c r="Y57" s="72">
        <v>0</v>
      </c>
      <c r="Z57" s="50">
        <v>14.7</v>
      </c>
      <c r="AA57" s="50">
        <v>14.7</v>
      </c>
      <c r="AB57" s="72">
        <v>14.5</v>
      </c>
      <c r="AC57" s="72">
        <v>14.5</v>
      </c>
      <c r="AD57" s="72">
        <v>10</v>
      </c>
      <c r="AE57" s="72">
        <v>10</v>
      </c>
      <c r="AF57" s="72">
        <v>0</v>
      </c>
      <c r="AG57" s="61">
        <v>30</v>
      </c>
      <c r="AH57" s="52">
        <f t="shared" si="2"/>
        <v>25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72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3.2</v>
      </c>
      <c r="L58" s="50">
        <v>6.5</v>
      </c>
      <c r="M58" s="50">
        <v>9</v>
      </c>
      <c r="N58" s="50">
        <v>9</v>
      </c>
      <c r="O58" s="50">
        <v>9</v>
      </c>
      <c r="P58" s="72">
        <v>9</v>
      </c>
      <c r="Q58" s="72">
        <v>9</v>
      </c>
      <c r="R58" s="72">
        <v>9</v>
      </c>
      <c r="S58" s="72">
        <v>9</v>
      </c>
      <c r="T58" s="72">
        <v>9</v>
      </c>
      <c r="U58" s="72">
        <v>9</v>
      </c>
      <c r="V58" s="72">
        <v>9</v>
      </c>
      <c r="W58" s="72">
        <v>9</v>
      </c>
      <c r="X58" s="72">
        <v>9</v>
      </c>
      <c r="Y58" s="72">
        <v>9</v>
      </c>
      <c r="Z58" s="50">
        <v>0</v>
      </c>
      <c r="AA58" s="50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1">
        <v>25</v>
      </c>
      <c r="AH58" s="52">
        <f t="shared" si="2"/>
        <v>9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12</v>
      </c>
      <c r="C59" s="72">
        <v>12</v>
      </c>
      <c r="D59" s="72">
        <v>12</v>
      </c>
      <c r="E59" s="72">
        <v>12</v>
      </c>
      <c r="F59" s="72">
        <v>12</v>
      </c>
      <c r="G59" s="72">
        <v>12</v>
      </c>
      <c r="H59" s="72">
        <v>12</v>
      </c>
      <c r="I59" s="72">
        <v>12</v>
      </c>
      <c r="J59" s="72">
        <v>12</v>
      </c>
      <c r="K59" s="72">
        <v>12</v>
      </c>
      <c r="L59" s="72">
        <v>12</v>
      </c>
      <c r="M59" s="72">
        <v>12</v>
      </c>
      <c r="N59" s="72">
        <v>12</v>
      </c>
      <c r="O59" s="72">
        <v>12</v>
      </c>
      <c r="P59" s="72">
        <v>12</v>
      </c>
      <c r="Q59" s="72">
        <v>12</v>
      </c>
      <c r="R59" s="72">
        <v>12</v>
      </c>
      <c r="S59" s="72">
        <v>12</v>
      </c>
      <c r="T59" s="72">
        <v>12</v>
      </c>
      <c r="U59" s="72">
        <v>12</v>
      </c>
      <c r="V59" s="72">
        <v>12</v>
      </c>
      <c r="W59" s="72">
        <v>12</v>
      </c>
      <c r="X59" s="72">
        <v>12</v>
      </c>
      <c r="Y59" s="72">
        <v>12</v>
      </c>
      <c r="Z59" s="72">
        <v>12</v>
      </c>
      <c r="AA59" s="72">
        <v>12</v>
      </c>
      <c r="AB59" s="72">
        <v>10</v>
      </c>
      <c r="AC59" s="72">
        <v>10</v>
      </c>
      <c r="AD59" s="72">
        <v>10</v>
      </c>
      <c r="AE59" s="72">
        <v>10</v>
      </c>
      <c r="AF59" s="72">
        <v>10</v>
      </c>
      <c r="AG59" s="61">
        <v>24</v>
      </c>
      <c r="AH59" s="52">
        <f t="shared" si="2"/>
        <v>12</v>
      </c>
      <c r="AI59" s="53">
        <f t="shared" si="3"/>
        <v>10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9.6</v>
      </c>
      <c r="C61" s="72">
        <v>9.6</v>
      </c>
      <c r="D61" s="72">
        <v>9.4</v>
      </c>
      <c r="E61" s="72">
        <v>9.4</v>
      </c>
      <c r="F61" s="72">
        <v>9.4</v>
      </c>
      <c r="G61" s="72">
        <v>9.4</v>
      </c>
      <c r="H61" s="72">
        <v>9.4</v>
      </c>
      <c r="I61" s="72">
        <v>9.4</v>
      </c>
      <c r="J61" s="72">
        <v>9.4</v>
      </c>
      <c r="K61" s="72">
        <v>9.4</v>
      </c>
      <c r="L61" s="72">
        <v>9.4</v>
      </c>
      <c r="M61" s="72">
        <v>9.4</v>
      </c>
      <c r="N61" s="72">
        <v>9.4</v>
      </c>
      <c r="O61" s="72">
        <v>9.4</v>
      </c>
      <c r="P61" s="72">
        <v>9.4</v>
      </c>
      <c r="Q61" s="72">
        <v>9.4</v>
      </c>
      <c r="R61" s="72">
        <v>9.4</v>
      </c>
      <c r="S61" s="72">
        <v>9.4</v>
      </c>
      <c r="T61" s="72">
        <v>9.4</v>
      </c>
      <c r="U61" s="72">
        <v>9.4</v>
      </c>
      <c r="V61" s="72">
        <v>9.4</v>
      </c>
      <c r="W61" s="72">
        <v>9.4</v>
      </c>
      <c r="X61" s="72">
        <v>9.4</v>
      </c>
      <c r="Y61" s="72">
        <v>9.4</v>
      </c>
      <c r="Z61" s="72">
        <v>9.4</v>
      </c>
      <c r="AA61" s="72">
        <v>9.4</v>
      </c>
      <c r="AB61" s="72">
        <v>9.4</v>
      </c>
      <c r="AC61" s="72">
        <v>9.4</v>
      </c>
      <c r="AD61" s="72">
        <v>9.4</v>
      </c>
      <c r="AE61" s="72">
        <v>9.4</v>
      </c>
      <c r="AF61" s="72">
        <v>9.4</v>
      </c>
      <c r="AG61" s="61">
        <v>14.1</v>
      </c>
      <c r="AH61" s="52">
        <f t="shared" si="2"/>
        <v>9.6</v>
      </c>
      <c r="AI61" s="53">
        <f t="shared" si="3"/>
        <v>9.4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5.2</v>
      </c>
      <c r="C62" s="72">
        <v>5.2</v>
      </c>
      <c r="D62" s="72">
        <v>5.2</v>
      </c>
      <c r="E62" s="72">
        <v>5.2</v>
      </c>
      <c r="F62" s="72">
        <v>5.2</v>
      </c>
      <c r="G62" s="72">
        <v>5.2</v>
      </c>
      <c r="H62" s="72">
        <v>5.2</v>
      </c>
      <c r="I62" s="72">
        <v>5.2</v>
      </c>
      <c r="J62" s="72">
        <v>5.2</v>
      </c>
      <c r="K62" s="72">
        <v>5.2</v>
      </c>
      <c r="L62" s="72">
        <v>5.2</v>
      </c>
      <c r="M62" s="72">
        <v>5.2</v>
      </c>
      <c r="N62" s="72">
        <v>5.2</v>
      </c>
      <c r="O62" s="72">
        <v>5.2</v>
      </c>
      <c r="P62" s="72">
        <v>5.2</v>
      </c>
      <c r="Q62" s="72">
        <v>5.2</v>
      </c>
      <c r="R62" s="72">
        <v>5.2</v>
      </c>
      <c r="S62" s="72">
        <v>5.2</v>
      </c>
      <c r="T62" s="72">
        <v>5.2</v>
      </c>
      <c r="U62" s="72">
        <v>5.2</v>
      </c>
      <c r="V62" s="72">
        <v>5.2</v>
      </c>
      <c r="W62" s="72">
        <v>5.2</v>
      </c>
      <c r="X62" s="72">
        <v>5.2</v>
      </c>
      <c r="Y62" s="72">
        <v>5.2</v>
      </c>
      <c r="Z62" s="72">
        <v>5.2</v>
      </c>
      <c r="AA62" s="72">
        <v>5.2</v>
      </c>
      <c r="AB62" s="72">
        <v>5.2</v>
      </c>
      <c r="AC62" s="72">
        <v>5.2</v>
      </c>
      <c r="AD62" s="72">
        <v>5.2</v>
      </c>
      <c r="AE62" s="72">
        <v>5.2</v>
      </c>
      <c r="AF62" s="72">
        <v>5.2</v>
      </c>
      <c r="AG62" s="61">
        <v>14</v>
      </c>
      <c r="AH62" s="52">
        <f t="shared" si="2"/>
        <v>5.2</v>
      </c>
      <c r="AI62" s="53">
        <f t="shared" si="3"/>
        <v>5.2</v>
      </c>
      <c r="AK62" s="54"/>
    </row>
    <row r="63" spans="1:41" x14ac:dyDescent="0.25">
      <c r="A63" s="60" t="s">
        <v>71</v>
      </c>
      <c r="B63" s="72">
        <v>3</v>
      </c>
      <c r="C63" s="72">
        <v>3</v>
      </c>
      <c r="D63" s="72">
        <v>3</v>
      </c>
      <c r="E63" s="72">
        <v>3</v>
      </c>
      <c r="F63" s="72">
        <v>3</v>
      </c>
      <c r="G63" s="72">
        <v>3</v>
      </c>
      <c r="H63" s="72">
        <v>3</v>
      </c>
      <c r="I63" s="72">
        <v>3</v>
      </c>
      <c r="J63" s="72">
        <v>3</v>
      </c>
      <c r="K63" s="72">
        <v>3</v>
      </c>
      <c r="L63" s="72">
        <v>3</v>
      </c>
      <c r="M63" s="72">
        <v>3</v>
      </c>
      <c r="N63" s="72">
        <v>3</v>
      </c>
      <c r="O63" s="72">
        <v>3</v>
      </c>
      <c r="P63" s="72">
        <v>3</v>
      </c>
      <c r="Q63" s="72">
        <v>3</v>
      </c>
      <c r="R63" s="72">
        <v>3</v>
      </c>
      <c r="S63" s="72">
        <v>3</v>
      </c>
      <c r="T63" s="72">
        <v>3</v>
      </c>
      <c r="U63" s="72">
        <v>3</v>
      </c>
      <c r="V63" s="72">
        <v>3</v>
      </c>
      <c r="W63" s="72">
        <v>3</v>
      </c>
      <c r="X63" s="72">
        <v>3</v>
      </c>
      <c r="Y63" s="72">
        <v>3</v>
      </c>
      <c r="Z63" s="72">
        <v>3</v>
      </c>
      <c r="AA63" s="72">
        <v>3</v>
      </c>
      <c r="AB63" s="72">
        <v>3</v>
      </c>
      <c r="AC63" s="72">
        <v>3</v>
      </c>
      <c r="AD63" s="72">
        <v>3</v>
      </c>
      <c r="AE63" s="72">
        <v>3</v>
      </c>
      <c r="AF63" s="72">
        <v>3</v>
      </c>
      <c r="AG63" s="61">
        <v>10.050000000000001</v>
      </c>
      <c r="AH63" s="52">
        <f t="shared" si="2"/>
        <v>3</v>
      </c>
      <c r="AI63" s="53">
        <f t="shared" si="3"/>
        <v>3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" si="10">SUM(B53:B65)</f>
        <v>178.83999999999997</v>
      </c>
      <c r="C66" s="67">
        <f t="shared" ref="C66:AG66" si="11">SUM(C53:C65)</f>
        <v>176.73999999999998</v>
      </c>
      <c r="D66" s="67">
        <f t="shared" ref="D66" si="12">SUM(D53:D65)</f>
        <v>162.23999999999998</v>
      </c>
      <c r="E66" s="67">
        <f t="shared" si="11"/>
        <v>162.23999999999998</v>
      </c>
      <c r="F66" s="67">
        <f t="shared" si="11"/>
        <v>153.44</v>
      </c>
      <c r="G66" s="67">
        <f t="shared" si="11"/>
        <v>173.04</v>
      </c>
      <c r="H66" s="67">
        <f t="shared" si="11"/>
        <v>189.33999999999997</v>
      </c>
      <c r="I66" s="67">
        <f t="shared" si="11"/>
        <v>156.03999999999996</v>
      </c>
      <c r="J66" s="67">
        <f t="shared" si="11"/>
        <v>151.83999999999997</v>
      </c>
      <c r="K66" s="67">
        <f t="shared" si="11"/>
        <v>169.64</v>
      </c>
      <c r="L66" s="67">
        <f t="shared" si="11"/>
        <v>179.44</v>
      </c>
      <c r="M66" s="67">
        <f t="shared" si="11"/>
        <v>148.63999999999999</v>
      </c>
      <c r="N66" s="67">
        <f t="shared" si="11"/>
        <v>158.23999999999998</v>
      </c>
      <c r="O66" s="67">
        <f t="shared" si="11"/>
        <v>175.83999999999997</v>
      </c>
      <c r="P66" s="67">
        <f t="shared" si="11"/>
        <v>253.14</v>
      </c>
      <c r="Q66" s="67">
        <f t="shared" si="11"/>
        <v>302.74</v>
      </c>
      <c r="R66" s="67">
        <f t="shared" si="11"/>
        <v>313.74</v>
      </c>
      <c r="S66" s="67">
        <f t="shared" si="11"/>
        <v>287.43999999999994</v>
      </c>
      <c r="T66" s="67">
        <f t="shared" si="11"/>
        <v>282.43999999999994</v>
      </c>
      <c r="U66" s="67">
        <f t="shared" si="11"/>
        <v>285.53999999999996</v>
      </c>
      <c r="V66" s="67">
        <f t="shared" si="11"/>
        <v>205.44</v>
      </c>
      <c r="W66" s="67">
        <f t="shared" si="11"/>
        <v>192.64</v>
      </c>
      <c r="X66" s="67">
        <f t="shared" si="11"/>
        <v>192.64</v>
      </c>
      <c r="Y66" s="67">
        <f t="shared" si="11"/>
        <v>192.64</v>
      </c>
      <c r="Z66" s="67">
        <v>259.53999999999996</v>
      </c>
      <c r="AA66" s="67">
        <f t="shared" si="11"/>
        <v>259.14</v>
      </c>
      <c r="AB66" s="67">
        <f t="shared" si="11"/>
        <v>258.94</v>
      </c>
      <c r="AC66" s="67">
        <f t="shared" si="11"/>
        <v>244.63999999999996</v>
      </c>
      <c r="AD66" s="67">
        <f t="shared" si="11"/>
        <v>215.03999999999996</v>
      </c>
      <c r="AE66" s="67">
        <f t="shared" si="11"/>
        <v>168.54</v>
      </c>
      <c r="AF66" s="67">
        <f t="shared" si="11"/>
        <v>159.67999999999998</v>
      </c>
      <c r="AG66" s="68">
        <f t="shared" si="11"/>
        <v>489.91</v>
      </c>
      <c r="AH66" s="52">
        <f t="shared" si="2"/>
        <v>313.74</v>
      </c>
      <c r="AI66" s="53">
        <f t="shared" si="3"/>
        <v>148.63999999999999</v>
      </c>
      <c r="AK66" s="54"/>
    </row>
    <row r="67" spans="1:40" x14ac:dyDescent="0.25">
      <c r="A67" s="49" t="s">
        <v>75</v>
      </c>
      <c r="B67" s="50">
        <v>60</v>
      </c>
      <c r="C67" s="50">
        <v>60</v>
      </c>
      <c r="D67" s="50">
        <v>60</v>
      </c>
      <c r="E67" s="50">
        <v>60</v>
      </c>
      <c r="F67" s="50">
        <v>60</v>
      </c>
      <c r="G67" s="50">
        <v>60</v>
      </c>
      <c r="H67" s="50">
        <v>60</v>
      </c>
      <c r="I67" s="50">
        <v>60</v>
      </c>
      <c r="J67" s="50">
        <v>60</v>
      </c>
      <c r="K67" s="50">
        <v>60</v>
      </c>
      <c r="L67" s="50">
        <v>60</v>
      </c>
      <c r="M67" s="50">
        <v>60</v>
      </c>
      <c r="N67" s="50">
        <v>60</v>
      </c>
      <c r="O67" s="50">
        <v>60</v>
      </c>
      <c r="P67" s="50">
        <v>60</v>
      </c>
      <c r="Q67" s="50">
        <v>60</v>
      </c>
      <c r="R67" s="50">
        <v>60</v>
      </c>
      <c r="S67" s="50">
        <v>60</v>
      </c>
      <c r="T67" s="50">
        <v>60</v>
      </c>
      <c r="U67" s="50">
        <v>60</v>
      </c>
      <c r="V67" s="50">
        <v>60</v>
      </c>
      <c r="W67" s="50">
        <v>40</v>
      </c>
      <c r="X67" s="50">
        <v>40</v>
      </c>
      <c r="Y67" s="50">
        <v>60</v>
      </c>
      <c r="Z67" s="50">
        <v>40</v>
      </c>
      <c r="AA67" s="50">
        <v>40</v>
      </c>
      <c r="AB67" s="50">
        <v>40</v>
      </c>
      <c r="AC67" s="50">
        <v>40</v>
      </c>
      <c r="AD67" s="50">
        <v>40</v>
      </c>
      <c r="AE67" s="50">
        <v>40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40</v>
      </c>
      <c r="AK67" s="54"/>
    </row>
    <row r="68" spans="1:40" x14ac:dyDescent="0.25">
      <c r="A68" s="60" t="s">
        <v>76</v>
      </c>
      <c r="B68" s="72">
        <v>28.9</v>
      </c>
      <c r="C68" s="72">
        <v>28.9</v>
      </c>
      <c r="D68" s="72">
        <v>28.9</v>
      </c>
      <c r="E68" s="72">
        <v>28.9</v>
      </c>
      <c r="F68" s="72">
        <v>28.9</v>
      </c>
      <c r="G68" s="72">
        <v>28.9</v>
      </c>
      <c r="H68" s="72">
        <v>28.9</v>
      </c>
      <c r="I68" s="72">
        <v>28.7</v>
      </c>
      <c r="J68" s="72">
        <v>28.7</v>
      </c>
      <c r="K68" s="72">
        <v>28.7</v>
      </c>
      <c r="L68" s="72">
        <v>28.7</v>
      </c>
      <c r="M68" s="72">
        <v>28.8</v>
      </c>
      <c r="N68" s="72">
        <v>28.8</v>
      </c>
      <c r="O68" s="72">
        <v>28.8</v>
      </c>
      <c r="P68" s="72">
        <v>28.8</v>
      </c>
      <c r="Q68" s="72">
        <v>28.8</v>
      </c>
      <c r="R68" s="72">
        <v>28.8</v>
      </c>
      <c r="S68" s="72">
        <v>28.8</v>
      </c>
      <c r="T68" s="72">
        <v>28.8</v>
      </c>
      <c r="U68" s="72">
        <v>28.8</v>
      </c>
      <c r="V68" s="72">
        <v>28.8</v>
      </c>
      <c r="W68" s="72">
        <v>14</v>
      </c>
      <c r="X68" s="72">
        <v>14</v>
      </c>
      <c r="Y68" s="72">
        <v>16.7</v>
      </c>
      <c r="Z68" s="72">
        <v>16.7</v>
      </c>
      <c r="AA68" s="72">
        <v>16.7</v>
      </c>
      <c r="AB68" s="72">
        <v>17.600000000000001</v>
      </c>
      <c r="AC68" s="72">
        <v>17.5</v>
      </c>
      <c r="AD68" s="72">
        <v>17.5</v>
      </c>
      <c r="AE68" s="72">
        <v>17.5</v>
      </c>
      <c r="AF68" s="50">
        <v>27</v>
      </c>
      <c r="AG68" s="61">
        <v>32</v>
      </c>
      <c r="AH68" s="52">
        <f t="shared" si="2"/>
        <v>28.9</v>
      </c>
      <c r="AI68" s="53">
        <f t="shared" si="3"/>
        <v>14</v>
      </c>
      <c r="AK68" s="54"/>
    </row>
    <row r="69" spans="1:40" ht="15.75" thickBot="1" x14ac:dyDescent="0.3">
      <c r="A69" s="78" t="s">
        <v>77</v>
      </c>
      <c r="B69" s="74">
        <v>10.6</v>
      </c>
      <c r="C69" s="74">
        <v>10.5</v>
      </c>
      <c r="D69" s="74">
        <v>10.5</v>
      </c>
      <c r="E69" s="74">
        <v>10.5</v>
      </c>
      <c r="F69" s="74">
        <v>10.5</v>
      </c>
      <c r="G69" s="74">
        <v>10.5</v>
      </c>
      <c r="H69" s="74">
        <v>10.5</v>
      </c>
      <c r="I69" s="74">
        <v>10.5</v>
      </c>
      <c r="J69" s="74">
        <v>10.5</v>
      </c>
      <c r="K69" s="74">
        <v>10.5</v>
      </c>
      <c r="L69" s="74">
        <v>10.5</v>
      </c>
      <c r="M69" s="74">
        <v>10.5</v>
      </c>
      <c r="N69" s="74">
        <v>10.5</v>
      </c>
      <c r="O69" s="74">
        <v>10.5</v>
      </c>
      <c r="P69" s="74">
        <v>10.5</v>
      </c>
      <c r="Q69" s="74">
        <v>10.5</v>
      </c>
      <c r="R69" s="74">
        <v>10.5</v>
      </c>
      <c r="S69" s="74">
        <v>10.5</v>
      </c>
      <c r="T69" s="74">
        <v>10.5</v>
      </c>
      <c r="U69" s="74">
        <v>10.5</v>
      </c>
      <c r="V69" s="74">
        <v>10.5</v>
      </c>
      <c r="W69" s="74">
        <v>5.0999999999999996</v>
      </c>
      <c r="X69" s="74">
        <v>5.0999999999999996</v>
      </c>
      <c r="Y69" s="74">
        <v>6.1</v>
      </c>
      <c r="Z69" s="74">
        <v>6.1</v>
      </c>
      <c r="AA69" s="74">
        <v>6.1</v>
      </c>
      <c r="AB69" s="74">
        <v>7</v>
      </c>
      <c r="AC69" s="74">
        <v>7</v>
      </c>
      <c r="AD69" s="74">
        <v>7</v>
      </c>
      <c r="AE69" s="74">
        <v>7</v>
      </c>
      <c r="AF69" s="50">
        <v>11</v>
      </c>
      <c r="AG69" s="75">
        <v>14</v>
      </c>
      <c r="AH69" s="52">
        <f t="shared" si="2"/>
        <v>11</v>
      </c>
      <c r="AI69" s="53">
        <f t="shared" si="3"/>
        <v>5.0999999999999996</v>
      </c>
      <c r="AK69" s="54"/>
    </row>
    <row r="70" spans="1:40" ht="15.75" thickBot="1" x14ac:dyDescent="0.3">
      <c r="A70" s="81" t="s">
        <v>78</v>
      </c>
      <c r="B70" s="67">
        <f t="shared" ref="B70:K70" si="13">B67+B68+B69</f>
        <v>99.5</v>
      </c>
      <c r="C70" s="67">
        <f t="shared" si="13"/>
        <v>99.4</v>
      </c>
      <c r="D70" s="67">
        <f t="shared" si="13"/>
        <v>99.4</v>
      </c>
      <c r="E70" s="67">
        <f t="shared" si="13"/>
        <v>99.4</v>
      </c>
      <c r="F70" s="67">
        <f t="shared" si="13"/>
        <v>99.4</v>
      </c>
      <c r="G70" s="67">
        <f t="shared" si="13"/>
        <v>99.4</v>
      </c>
      <c r="H70" s="67">
        <f t="shared" si="13"/>
        <v>99.4</v>
      </c>
      <c r="I70" s="67">
        <f t="shared" si="13"/>
        <v>99.2</v>
      </c>
      <c r="J70" s="67">
        <f t="shared" si="13"/>
        <v>99.2</v>
      </c>
      <c r="K70" s="67">
        <f t="shared" si="13"/>
        <v>99.2</v>
      </c>
      <c r="L70" s="67">
        <f>L67+L68+L69</f>
        <v>99.2</v>
      </c>
      <c r="M70" s="67">
        <f t="shared" ref="M70:AF70" si="14">M67+M68+M69</f>
        <v>99.3</v>
      </c>
      <c r="N70" s="67">
        <f t="shared" si="14"/>
        <v>99.3</v>
      </c>
      <c r="O70" s="67">
        <f t="shared" si="14"/>
        <v>99.3</v>
      </c>
      <c r="P70" s="67">
        <f t="shared" si="14"/>
        <v>99.3</v>
      </c>
      <c r="Q70" s="67">
        <f t="shared" si="14"/>
        <v>99.3</v>
      </c>
      <c r="R70" s="67">
        <f t="shared" si="14"/>
        <v>99.3</v>
      </c>
      <c r="S70" s="67">
        <f t="shared" si="14"/>
        <v>99.3</v>
      </c>
      <c r="T70" s="67">
        <f t="shared" si="14"/>
        <v>99.3</v>
      </c>
      <c r="U70" s="67">
        <f t="shared" si="14"/>
        <v>99.3</v>
      </c>
      <c r="V70" s="67">
        <f t="shared" si="14"/>
        <v>99.3</v>
      </c>
      <c r="W70" s="67">
        <f t="shared" si="14"/>
        <v>59.1</v>
      </c>
      <c r="X70" s="67">
        <f t="shared" si="14"/>
        <v>59.1</v>
      </c>
      <c r="Y70" s="67">
        <f t="shared" si="14"/>
        <v>82.8</v>
      </c>
      <c r="Z70" s="67">
        <v>62.800000000000004</v>
      </c>
      <c r="AA70" s="67">
        <f t="shared" si="14"/>
        <v>62.800000000000004</v>
      </c>
      <c r="AB70" s="67">
        <f t="shared" si="14"/>
        <v>64.599999999999994</v>
      </c>
      <c r="AC70" s="67">
        <f t="shared" si="14"/>
        <v>64.5</v>
      </c>
      <c r="AD70" s="67">
        <f t="shared" si="14"/>
        <v>64.5</v>
      </c>
      <c r="AE70" s="67">
        <f t="shared" si="14"/>
        <v>64.5</v>
      </c>
      <c r="AF70" s="67">
        <f t="shared" si="14"/>
        <v>98</v>
      </c>
      <c r="AG70" s="68">
        <f>SUM(AG67:AG69)</f>
        <v>106</v>
      </c>
      <c r="AH70" s="52">
        <f t="shared" si="2"/>
        <v>99.5</v>
      </c>
      <c r="AI70" s="53">
        <f t="shared" si="3"/>
        <v>59.1</v>
      </c>
      <c r="AK70" s="54"/>
    </row>
    <row r="71" spans="1:40" x14ac:dyDescent="0.25">
      <c r="A71" s="49" t="s">
        <v>79</v>
      </c>
      <c r="B71" s="50">
        <v>62.1</v>
      </c>
      <c r="C71" s="50">
        <v>66.099999999999994</v>
      </c>
      <c r="D71" s="50">
        <v>62</v>
      </c>
      <c r="E71" s="50">
        <v>57</v>
      </c>
      <c r="F71" s="50">
        <v>53.6</v>
      </c>
      <c r="G71" s="50">
        <v>57.2</v>
      </c>
      <c r="H71" s="50">
        <v>67</v>
      </c>
      <c r="I71" s="50">
        <v>67.599999999999994</v>
      </c>
      <c r="J71" s="50">
        <v>68.5</v>
      </c>
      <c r="K71" s="50">
        <v>71.7</v>
      </c>
      <c r="L71" s="50">
        <v>62</v>
      </c>
      <c r="M71" s="50">
        <v>70.900000000000006</v>
      </c>
      <c r="N71" s="50">
        <v>70</v>
      </c>
      <c r="O71" s="50">
        <v>70.5</v>
      </c>
      <c r="P71" s="50">
        <v>72</v>
      </c>
      <c r="Q71" s="50">
        <v>68.3</v>
      </c>
      <c r="R71" s="50">
        <v>73.5</v>
      </c>
      <c r="S71" s="50">
        <v>74.599999999999994</v>
      </c>
      <c r="T71" s="50">
        <v>75.8</v>
      </c>
      <c r="U71" s="50">
        <v>74.8</v>
      </c>
      <c r="V71" s="50">
        <v>72.900000000000006</v>
      </c>
      <c r="W71" s="50">
        <v>72.3</v>
      </c>
      <c r="X71" s="50">
        <v>72.3</v>
      </c>
      <c r="Y71" s="50">
        <v>72.3</v>
      </c>
      <c r="Z71" s="50">
        <v>72.7</v>
      </c>
      <c r="AA71" s="50">
        <v>74.2</v>
      </c>
      <c r="AB71" s="50">
        <v>72.099999999999994</v>
      </c>
      <c r="AC71" s="50">
        <v>71.599999999999994</v>
      </c>
      <c r="AD71" s="50">
        <v>74</v>
      </c>
      <c r="AE71" s="50">
        <v>67</v>
      </c>
      <c r="AF71" s="50">
        <v>65</v>
      </c>
      <c r="AG71" s="56"/>
      <c r="AH71" s="52">
        <f t="shared" si="2"/>
        <v>75.8</v>
      </c>
      <c r="AI71" s="53">
        <f t="shared" si="3"/>
        <v>53.6</v>
      </c>
      <c r="AK71" s="54"/>
    </row>
    <row r="72" spans="1:40" x14ac:dyDescent="0.25">
      <c r="A72" s="60" t="s">
        <v>80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402.2</v>
      </c>
      <c r="C73" s="72">
        <v>398.3</v>
      </c>
      <c r="D73" s="72">
        <v>320</v>
      </c>
      <c r="E73" s="72">
        <v>333.9</v>
      </c>
      <c r="F73" s="72">
        <v>330.6</v>
      </c>
      <c r="G73" s="72">
        <v>320</v>
      </c>
      <c r="H73" s="72">
        <v>342</v>
      </c>
      <c r="I73" s="72">
        <v>358</v>
      </c>
      <c r="J73" s="72">
        <v>390</v>
      </c>
      <c r="K73" s="72">
        <v>420</v>
      </c>
      <c r="L73" s="72">
        <v>406</v>
      </c>
      <c r="M73" s="72">
        <v>413.9</v>
      </c>
      <c r="N73" s="72">
        <v>471</v>
      </c>
      <c r="O73" s="72">
        <v>493</v>
      </c>
      <c r="P73" s="72">
        <v>431</v>
      </c>
      <c r="Q73" s="72">
        <v>499</v>
      </c>
      <c r="R73" s="72">
        <v>469</v>
      </c>
      <c r="S73" s="72">
        <v>477.6</v>
      </c>
      <c r="T73" s="72">
        <v>491.6</v>
      </c>
      <c r="U73" s="72">
        <v>482</v>
      </c>
      <c r="V73" s="72">
        <v>400</v>
      </c>
      <c r="W73" s="72">
        <v>482.3</v>
      </c>
      <c r="X73" s="72">
        <v>465</v>
      </c>
      <c r="Y73" s="72">
        <v>465</v>
      </c>
      <c r="Z73" s="72">
        <v>402.3</v>
      </c>
      <c r="AA73" s="72">
        <v>401</v>
      </c>
      <c r="AB73" s="72">
        <v>362.4</v>
      </c>
      <c r="AC73" s="72">
        <v>406.4</v>
      </c>
      <c r="AD73" s="72">
        <v>410</v>
      </c>
      <c r="AE73" s="72">
        <v>412</v>
      </c>
      <c r="AF73" s="72">
        <v>431</v>
      </c>
      <c r="AG73" s="82"/>
      <c r="AH73" s="52">
        <f t="shared" si="2"/>
        <v>499</v>
      </c>
      <c r="AI73" s="53">
        <f t="shared" si="3"/>
        <v>320</v>
      </c>
      <c r="AK73" s="54"/>
    </row>
    <row r="74" spans="1:40" x14ac:dyDescent="0.25">
      <c r="A74" s="60" t="s">
        <v>82</v>
      </c>
      <c r="B74" s="72">
        <v>52.6</v>
      </c>
      <c r="C74" s="72">
        <v>54.5</v>
      </c>
      <c r="D74" s="72">
        <v>54.1</v>
      </c>
      <c r="E74" s="72">
        <v>56.4</v>
      </c>
      <c r="F74" s="83">
        <v>52.5</v>
      </c>
      <c r="G74" s="83">
        <v>55</v>
      </c>
      <c r="H74" s="83">
        <v>56</v>
      </c>
      <c r="I74" s="83">
        <v>55</v>
      </c>
      <c r="J74" s="83">
        <v>50</v>
      </c>
      <c r="K74" s="83">
        <v>49</v>
      </c>
      <c r="L74" s="83">
        <v>50</v>
      </c>
      <c r="M74" s="83">
        <v>49</v>
      </c>
      <c r="N74" s="83">
        <v>49</v>
      </c>
      <c r="O74" s="83">
        <v>49</v>
      </c>
      <c r="P74" s="83">
        <v>58.5</v>
      </c>
      <c r="Q74" s="83">
        <v>58.5</v>
      </c>
      <c r="R74" s="83">
        <v>62.6</v>
      </c>
      <c r="S74" s="83">
        <v>62.6</v>
      </c>
      <c r="T74" s="83">
        <v>59.9</v>
      </c>
      <c r="U74" s="83">
        <v>64.3</v>
      </c>
      <c r="V74" s="83">
        <v>61.5</v>
      </c>
      <c r="W74" s="83">
        <v>57.3</v>
      </c>
      <c r="X74" s="83">
        <v>57.3</v>
      </c>
      <c r="Y74" s="83">
        <v>57.3</v>
      </c>
      <c r="Z74" s="72">
        <v>57.3</v>
      </c>
      <c r="AA74" s="72">
        <v>57.3</v>
      </c>
      <c r="AB74" s="72">
        <v>57.6</v>
      </c>
      <c r="AC74" s="72">
        <v>12</v>
      </c>
      <c r="AD74" s="72">
        <v>11</v>
      </c>
      <c r="AE74" s="72">
        <v>12</v>
      </c>
      <c r="AF74" s="72">
        <v>47.7</v>
      </c>
      <c r="AG74" s="82"/>
      <c r="AH74" s="52">
        <f t="shared" si="2"/>
        <v>64.3</v>
      </c>
      <c r="AI74" s="53">
        <f t="shared" si="3"/>
        <v>11</v>
      </c>
      <c r="AK74" s="54"/>
    </row>
    <row r="75" spans="1:40" x14ac:dyDescent="0.25">
      <c r="A75" s="60" t="s">
        <v>83</v>
      </c>
      <c r="B75" s="50">
        <v>28.2</v>
      </c>
      <c r="C75" s="50">
        <v>28.2</v>
      </c>
      <c r="D75" s="50">
        <v>27</v>
      </c>
      <c r="E75" s="50">
        <v>27.3</v>
      </c>
      <c r="F75" s="50">
        <v>28</v>
      </c>
      <c r="G75" s="50">
        <v>27.2</v>
      </c>
      <c r="H75" s="50">
        <v>28</v>
      </c>
      <c r="I75" s="50">
        <v>22.8</v>
      </c>
      <c r="J75" s="50">
        <v>24.5</v>
      </c>
      <c r="K75" s="50">
        <v>25.6</v>
      </c>
      <c r="L75" s="50">
        <v>28.3</v>
      </c>
      <c r="M75" s="50">
        <v>28.8</v>
      </c>
      <c r="N75" s="50">
        <v>32.700000000000003</v>
      </c>
      <c r="O75" s="50">
        <v>34</v>
      </c>
      <c r="P75" s="50">
        <v>36.9</v>
      </c>
      <c r="Q75" s="50">
        <v>36.9</v>
      </c>
      <c r="R75" s="50">
        <v>34.700000000000003</v>
      </c>
      <c r="S75" s="50">
        <v>34.700000000000003</v>
      </c>
      <c r="T75" s="50">
        <v>35.9</v>
      </c>
      <c r="U75" s="50">
        <v>33.700000000000003</v>
      </c>
      <c r="V75" s="50">
        <v>25.8</v>
      </c>
      <c r="W75" s="50">
        <v>18.5</v>
      </c>
      <c r="X75" s="50">
        <v>18.5</v>
      </c>
      <c r="Y75" s="50">
        <v>18.5</v>
      </c>
      <c r="Z75" s="50">
        <v>52.8</v>
      </c>
      <c r="AA75" s="50">
        <v>51.1</v>
      </c>
      <c r="AB75" s="50">
        <v>57</v>
      </c>
      <c r="AC75" s="50">
        <v>0</v>
      </c>
      <c r="AD75" s="50">
        <v>0</v>
      </c>
      <c r="AE75" s="50">
        <v>0</v>
      </c>
      <c r="AF75" s="50">
        <v>17.899999999999999</v>
      </c>
      <c r="AG75" s="82"/>
      <c r="AH75" s="52">
        <f t="shared" ref="AH75:AH117" si="15">MAX(B75:AF75)</f>
        <v>57</v>
      </c>
      <c r="AI75" s="53">
        <f t="shared" ref="AI75:AI117" si="16">MIN(B75:AF75)</f>
        <v>0</v>
      </c>
      <c r="AK75" s="54"/>
    </row>
    <row r="76" spans="1:40" x14ac:dyDescent="0.25">
      <c r="A76" s="60" t="s">
        <v>84</v>
      </c>
      <c r="B76" s="84">
        <v>5</v>
      </c>
      <c r="C76" s="84">
        <v>5</v>
      </c>
      <c r="D76" s="84">
        <v>5</v>
      </c>
      <c r="E76" s="84">
        <v>5</v>
      </c>
      <c r="F76" s="84">
        <v>5</v>
      </c>
      <c r="G76" s="84">
        <v>5</v>
      </c>
      <c r="H76" s="84">
        <v>5</v>
      </c>
      <c r="I76" s="84">
        <v>5</v>
      </c>
      <c r="J76" s="84">
        <v>5</v>
      </c>
      <c r="K76" s="84">
        <v>5</v>
      </c>
      <c r="L76" s="84">
        <v>5</v>
      </c>
      <c r="M76" s="84">
        <v>5</v>
      </c>
      <c r="N76" s="84">
        <v>5</v>
      </c>
      <c r="O76" s="84">
        <v>5</v>
      </c>
      <c r="P76" s="84">
        <v>5</v>
      </c>
      <c r="Q76" s="84">
        <v>5</v>
      </c>
      <c r="R76" s="84">
        <v>5</v>
      </c>
      <c r="S76" s="84">
        <v>5</v>
      </c>
      <c r="T76" s="84">
        <v>5</v>
      </c>
      <c r="U76" s="84">
        <v>5</v>
      </c>
      <c r="V76" s="84">
        <v>5</v>
      </c>
      <c r="W76" s="84">
        <v>5</v>
      </c>
      <c r="X76" s="84">
        <v>5</v>
      </c>
      <c r="Y76" s="84">
        <v>5</v>
      </c>
      <c r="Z76" s="84">
        <v>7</v>
      </c>
      <c r="AA76" s="84">
        <v>7</v>
      </c>
      <c r="AB76" s="84">
        <v>7</v>
      </c>
      <c r="AC76" s="84">
        <v>7</v>
      </c>
      <c r="AD76" s="84">
        <v>7</v>
      </c>
      <c r="AE76" s="84">
        <v>7</v>
      </c>
      <c r="AF76" s="84">
        <v>7</v>
      </c>
      <c r="AG76" s="82"/>
      <c r="AH76" s="52">
        <f t="shared" si="15"/>
        <v>7</v>
      </c>
      <c r="AI76" s="53">
        <f t="shared" si="16"/>
        <v>5</v>
      </c>
      <c r="AK76" s="54"/>
    </row>
    <row r="77" spans="1:40" ht="15.75" thickBot="1" x14ac:dyDescent="0.3">
      <c r="A77" s="60" t="s">
        <v>85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5</v>
      </c>
      <c r="R77" s="84">
        <v>5</v>
      </c>
      <c r="S77" s="84">
        <v>5</v>
      </c>
      <c r="T77" s="84">
        <v>5</v>
      </c>
      <c r="U77" s="84">
        <v>5</v>
      </c>
      <c r="V77" s="84">
        <v>5</v>
      </c>
      <c r="W77" s="84">
        <v>5</v>
      </c>
      <c r="X77" s="84">
        <v>5</v>
      </c>
      <c r="Y77" s="84">
        <v>5</v>
      </c>
      <c r="Z77" s="84">
        <v>5</v>
      </c>
      <c r="AA77" s="84">
        <v>5</v>
      </c>
      <c r="AB77" s="84">
        <v>5</v>
      </c>
      <c r="AC77" s="84">
        <v>5</v>
      </c>
      <c r="AD77" s="84">
        <v>5</v>
      </c>
      <c r="AE77" s="84">
        <v>5</v>
      </c>
      <c r="AF77" s="84">
        <v>5</v>
      </c>
      <c r="AG77" s="82"/>
      <c r="AH77" s="52">
        <f t="shared" si="15"/>
        <v>5</v>
      </c>
      <c r="AI77" s="53">
        <f t="shared" si="16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5"/>
        <v>0</v>
      </c>
      <c r="AI78" s="53">
        <f t="shared" si="16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5</v>
      </c>
      <c r="R79" s="84">
        <v>5</v>
      </c>
      <c r="S79" s="84">
        <v>5</v>
      </c>
      <c r="T79" s="84">
        <v>5</v>
      </c>
      <c r="U79" s="84">
        <v>5</v>
      </c>
      <c r="V79" s="84">
        <v>5</v>
      </c>
      <c r="W79" s="84">
        <v>5</v>
      </c>
      <c r="X79" s="84">
        <v>5</v>
      </c>
      <c r="Y79" s="84">
        <v>5</v>
      </c>
      <c r="Z79" s="84">
        <v>5</v>
      </c>
      <c r="AA79" s="84">
        <v>5</v>
      </c>
      <c r="AB79" s="84">
        <v>5</v>
      </c>
      <c r="AC79" s="84">
        <v>5</v>
      </c>
      <c r="AD79" s="84">
        <v>5</v>
      </c>
      <c r="AE79" s="84">
        <v>5</v>
      </c>
      <c r="AF79" s="84">
        <v>5</v>
      </c>
      <c r="AG79" s="82"/>
      <c r="AH79" s="52">
        <f t="shared" si="15"/>
        <v>5</v>
      </c>
      <c r="AI79" s="53">
        <f t="shared" si="16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5"/>
        <v>0</v>
      </c>
      <c r="AI80" s="53">
        <f t="shared" si="16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5"/>
        <v>0</v>
      </c>
      <c r="AI81" s="53">
        <f t="shared" si="16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" si="17">SUMIF(B71:B81,"&gt;0")</f>
        <v>550.1</v>
      </c>
      <c r="C82" s="67">
        <f t="shared" ref="C82:AF82" si="18">SUMIF(C71:C81,"&gt;0")</f>
        <v>552.1</v>
      </c>
      <c r="D82" s="67">
        <f t="shared" si="18"/>
        <v>468.1</v>
      </c>
      <c r="E82" s="67">
        <f t="shared" si="18"/>
        <v>479.59999999999997</v>
      </c>
      <c r="F82" s="67">
        <f t="shared" si="18"/>
        <v>469.70000000000005</v>
      </c>
      <c r="G82" s="67">
        <f t="shared" si="18"/>
        <v>464.4</v>
      </c>
      <c r="H82" s="67">
        <f t="shared" si="18"/>
        <v>498</v>
      </c>
      <c r="I82" s="67">
        <f t="shared" si="18"/>
        <v>508.40000000000003</v>
      </c>
      <c r="J82" s="67">
        <f t="shared" si="18"/>
        <v>538</v>
      </c>
      <c r="K82" s="67">
        <f t="shared" si="18"/>
        <v>571.30000000000007</v>
      </c>
      <c r="L82" s="67">
        <f t="shared" si="18"/>
        <v>551.29999999999995</v>
      </c>
      <c r="M82" s="67">
        <f t="shared" si="18"/>
        <v>567.59999999999991</v>
      </c>
      <c r="N82" s="67">
        <f t="shared" si="18"/>
        <v>627.70000000000005</v>
      </c>
      <c r="O82" s="67">
        <f t="shared" si="18"/>
        <v>651.5</v>
      </c>
      <c r="P82" s="67">
        <f t="shared" si="18"/>
        <v>603.4</v>
      </c>
      <c r="Q82" s="67">
        <f t="shared" si="18"/>
        <v>677.69999999999993</v>
      </c>
      <c r="R82" s="67">
        <f t="shared" si="18"/>
        <v>654.80000000000007</v>
      </c>
      <c r="S82" s="67">
        <f t="shared" si="18"/>
        <v>664.50000000000011</v>
      </c>
      <c r="T82" s="67">
        <f t="shared" si="18"/>
        <v>678.19999999999993</v>
      </c>
      <c r="U82" s="67">
        <f t="shared" si="18"/>
        <v>669.8</v>
      </c>
      <c r="V82" s="67">
        <f t="shared" si="18"/>
        <v>575.19999999999993</v>
      </c>
      <c r="W82" s="67">
        <f t="shared" si="18"/>
        <v>645.4</v>
      </c>
      <c r="X82" s="67">
        <f t="shared" si="18"/>
        <v>628.09999999999991</v>
      </c>
      <c r="Y82" s="67">
        <f t="shared" si="18"/>
        <v>628.09999999999991</v>
      </c>
      <c r="Z82" s="67">
        <v>592.09999999999991</v>
      </c>
      <c r="AA82" s="67">
        <f t="shared" si="18"/>
        <v>600.6</v>
      </c>
      <c r="AB82" s="67">
        <f t="shared" si="18"/>
        <v>566.1</v>
      </c>
      <c r="AC82" s="67">
        <f t="shared" si="18"/>
        <v>507</v>
      </c>
      <c r="AD82" s="67">
        <f t="shared" si="18"/>
        <v>512</v>
      </c>
      <c r="AE82" s="67">
        <f t="shared" si="18"/>
        <v>508</v>
      </c>
      <c r="AF82" s="67">
        <f t="shared" si="18"/>
        <v>578.6</v>
      </c>
      <c r="AG82" s="95">
        <f>SUM(AG71:AG81)</f>
        <v>0</v>
      </c>
      <c r="AH82" s="52">
        <f t="shared" si="15"/>
        <v>678.19999999999993</v>
      </c>
      <c r="AI82" s="53">
        <f t="shared" si="16"/>
        <v>464.4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5"/>
        <v>0</v>
      </c>
      <c r="AI83" s="53">
        <f t="shared" si="16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5"/>
        <v>0</v>
      </c>
      <c r="AI84" s="53">
        <f t="shared" si="16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5"/>
        <v>0</v>
      </c>
      <c r="AI85" s="53">
        <f t="shared" si="16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5"/>
        <v>0</v>
      </c>
      <c r="AI86" s="53">
        <f t="shared" si="16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" si="19">B48+B52+B70+B66+B82+B86</f>
        <v>1342.44</v>
      </c>
      <c r="C87" s="102">
        <f t="shared" ref="C87:AG87" si="20">C48+C52+C70+C66+C82+C86</f>
        <v>1331.8400000000001</v>
      </c>
      <c r="D87" s="102">
        <f t="shared" si="20"/>
        <v>1295.74</v>
      </c>
      <c r="E87" s="102">
        <f t="shared" si="20"/>
        <v>1307.24</v>
      </c>
      <c r="F87" s="102">
        <f t="shared" si="20"/>
        <v>1288.54</v>
      </c>
      <c r="G87" s="102">
        <f t="shared" si="20"/>
        <v>1302.8399999999999</v>
      </c>
      <c r="H87" s="102">
        <f t="shared" si="20"/>
        <v>1332.74</v>
      </c>
      <c r="I87" s="102">
        <f t="shared" si="20"/>
        <v>1309.6400000000001</v>
      </c>
      <c r="J87" s="102">
        <f t="shared" si="20"/>
        <v>1295.04</v>
      </c>
      <c r="K87" s="102">
        <f t="shared" si="20"/>
        <v>1327.54</v>
      </c>
      <c r="L87" s="102">
        <f t="shared" si="20"/>
        <v>1317.34</v>
      </c>
      <c r="M87" s="102">
        <f t="shared" si="20"/>
        <v>1283.1399999999999</v>
      </c>
      <c r="N87" s="102">
        <f t="shared" si="20"/>
        <v>1312.04</v>
      </c>
      <c r="O87" s="102">
        <f t="shared" si="20"/>
        <v>1353.4399999999998</v>
      </c>
      <c r="P87" s="102">
        <f t="shared" si="20"/>
        <v>1418.6399999999999</v>
      </c>
      <c r="Q87" s="102">
        <f t="shared" si="20"/>
        <v>1545.54</v>
      </c>
      <c r="R87" s="102">
        <f t="shared" si="20"/>
        <v>1561.1399999999999</v>
      </c>
      <c r="S87" s="102">
        <f t="shared" si="20"/>
        <v>1544.54</v>
      </c>
      <c r="T87" s="102">
        <f t="shared" si="20"/>
        <v>1553.2399999999998</v>
      </c>
      <c r="U87" s="102">
        <f t="shared" si="20"/>
        <v>1535.9399999999998</v>
      </c>
      <c r="V87" s="102">
        <f t="shared" si="20"/>
        <v>1391.2399999999998</v>
      </c>
      <c r="W87" s="102">
        <f t="shared" si="20"/>
        <v>1378.44</v>
      </c>
      <c r="X87" s="102">
        <f t="shared" si="20"/>
        <v>1361.1399999999999</v>
      </c>
      <c r="Y87" s="102">
        <f t="shared" si="20"/>
        <v>1429.8399999999997</v>
      </c>
      <c r="Z87" s="102">
        <v>1452.3399999999997</v>
      </c>
      <c r="AA87" s="102">
        <f t="shared" si="20"/>
        <v>1474.74</v>
      </c>
      <c r="AB87" s="102">
        <f t="shared" si="20"/>
        <v>1441.7399999999998</v>
      </c>
      <c r="AC87" s="102">
        <f t="shared" si="20"/>
        <v>1368.1399999999999</v>
      </c>
      <c r="AD87" s="102">
        <f t="shared" si="20"/>
        <v>1344.54</v>
      </c>
      <c r="AE87" s="102">
        <f t="shared" si="20"/>
        <v>1246.04</v>
      </c>
      <c r="AF87" s="102">
        <f t="shared" si="20"/>
        <v>1278.28</v>
      </c>
      <c r="AG87" s="68">
        <f t="shared" si="20"/>
        <v>2065.09</v>
      </c>
      <c r="AH87" s="52">
        <f>MAX(B87:AF87)</f>
        <v>1561.1399999999999</v>
      </c>
      <c r="AI87" s="53">
        <f>MIN(B87:AF87)</f>
        <v>1246.04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/>
      <c r="J88" s="104">
        <v>120</v>
      </c>
      <c r="K88" s="104">
        <v>130</v>
      </c>
      <c r="L88" s="104">
        <v>150</v>
      </c>
      <c r="M88" s="104">
        <v>175</v>
      </c>
      <c r="N88" s="104">
        <v>175</v>
      </c>
      <c r="O88" s="104">
        <v>175</v>
      </c>
      <c r="P88" s="104"/>
      <c r="Q88" s="104"/>
      <c r="R88" s="104">
        <v>70</v>
      </c>
      <c r="S88" s="104"/>
      <c r="T88" s="104"/>
      <c r="U88" s="104"/>
      <c r="V88" s="104"/>
      <c r="W88" s="104"/>
      <c r="X88" s="104"/>
      <c r="Y88" s="104"/>
      <c r="Z88" s="104">
        <v>275</v>
      </c>
      <c r="AA88" s="104">
        <v>275</v>
      </c>
      <c r="AB88" s="104">
        <v>275</v>
      </c>
      <c r="AC88" s="104">
        <v>275</v>
      </c>
      <c r="AD88" s="104">
        <v>275</v>
      </c>
      <c r="AE88" s="104">
        <v>260</v>
      </c>
      <c r="AF88" s="104"/>
      <c r="AG88" s="95"/>
      <c r="AH88" s="52">
        <f t="shared" si="15"/>
        <v>275</v>
      </c>
      <c r="AI88" s="53">
        <f t="shared" si="16"/>
        <v>70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" si="21">B87+B88</f>
        <v>1342.44</v>
      </c>
      <c r="C89" s="102">
        <f t="shared" ref="C89:AF89" si="22">C87+C88</f>
        <v>1331.8400000000001</v>
      </c>
      <c r="D89" s="102">
        <f t="shared" si="22"/>
        <v>1295.74</v>
      </c>
      <c r="E89" s="102">
        <f t="shared" si="22"/>
        <v>1307.24</v>
      </c>
      <c r="F89" s="102">
        <f t="shared" si="22"/>
        <v>1288.54</v>
      </c>
      <c r="G89" s="102">
        <f t="shared" si="22"/>
        <v>1302.8399999999999</v>
      </c>
      <c r="H89" s="102">
        <f t="shared" si="22"/>
        <v>1332.74</v>
      </c>
      <c r="I89" s="102">
        <f t="shared" si="22"/>
        <v>1309.6400000000001</v>
      </c>
      <c r="J89" s="102">
        <f t="shared" si="22"/>
        <v>1415.04</v>
      </c>
      <c r="K89" s="102">
        <f t="shared" si="22"/>
        <v>1457.54</v>
      </c>
      <c r="L89" s="102">
        <f t="shared" si="22"/>
        <v>1467.34</v>
      </c>
      <c r="M89" s="102">
        <f t="shared" si="22"/>
        <v>1458.1399999999999</v>
      </c>
      <c r="N89" s="102">
        <f t="shared" si="22"/>
        <v>1487.04</v>
      </c>
      <c r="O89" s="102">
        <f t="shared" si="22"/>
        <v>1528.4399999999998</v>
      </c>
      <c r="P89" s="102">
        <f t="shared" si="22"/>
        <v>1418.6399999999999</v>
      </c>
      <c r="Q89" s="102">
        <f t="shared" si="22"/>
        <v>1545.54</v>
      </c>
      <c r="R89" s="102">
        <f t="shared" si="22"/>
        <v>1631.1399999999999</v>
      </c>
      <c r="S89" s="102">
        <f t="shared" si="22"/>
        <v>1544.54</v>
      </c>
      <c r="T89" s="102">
        <f t="shared" si="22"/>
        <v>1553.2399999999998</v>
      </c>
      <c r="U89" s="102">
        <f t="shared" si="22"/>
        <v>1535.9399999999998</v>
      </c>
      <c r="V89" s="102">
        <f t="shared" si="22"/>
        <v>1391.2399999999998</v>
      </c>
      <c r="W89" s="102">
        <f t="shared" si="22"/>
        <v>1378.44</v>
      </c>
      <c r="X89" s="102">
        <f t="shared" si="22"/>
        <v>1361.1399999999999</v>
      </c>
      <c r="Y89" s="102">
        <f t="shared" si="22"/>
        <v>1429.8399999999997</v>
      </c>
      <c r="Z89" s="102">
        <v>1727.3399999999997</v>
      </c>
      <c r="AA89" s="102">
        <f t="shared" si="22"/>
        <v>1749.74</v>
      </c>
      <c r="AB89" s="102">
        <f t="shared" si="22"/>
        <v>1716.7399999999998</v>
      </c>
      <c r="AC89" s="102">
        <f t="shared" si="22"/>
        <v>1643.1399999999999</v>
      </c>
      <c r="AD89" s="102">
        <f t="shared" si="22"/>
        <v>1619.54</v>
      </c>
      <c r="AE89" s="102">
        <f t="shared" si="22"/>
        <v>1506.04</v>
      </c>
      <c r="AF89" s="102">
        <f t="shared" si="22"/>
        <v>1278.28</v>
      </c>
      <c r="AG89" s="95">
        <f>AG86+AG82+AG70+AG66+AG48+AG88</f>
        <v>1526.99</v>
      </c>
      <c r="AH89" s="52">
        <f t="shared" si="15"/>
        <v>1749.74</v>
      </c>
      <c r="AI89" s="53">
        <f t="shared" si="16"/>
        <v>1278.28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" si="23">B89-B97</f>
        <v>1342.44</v>
      </c>
      <c r="C90" s="102">
        <f t="shared" ref="C90:AF90" si="24">C89-C97</f>
        <v>1331.8400000000001</v>
      </c>
      <c r="D90" s="102">
        <f t="shared" si="24"/>
        <v>1295.74</v>
      </c>
      <c r="E90" s="102">
        <f t="shared" si="24"/>
        <v>1307.24</v>
      </c>
      <c r="F90" s="102">
        <f t="shared" si="24"/>
        <v>1288.54</v>
      </c>
      <c r="G90" s="102">
        <f t="shared" si="24"/>
        <v>1302.8399999999999</v>
      </c>
      <c r="H90" s="102">
        <f t="shared" si="24"/>
        <v>1332.74</v>
      </c>
      <c r="I90" s="102">
        <f t="shared" si="24"/>
        <v>1309.6400000000001</v>
      </c>
      <c r="J90" s="102">
        <f t="shared" si="24"/>
        <v>1415.04</v>
      </c>
      <c r="K90" s="102">
        <f t="shared" si="24"/>
        <v>1457.54</v>
      </c>
      <c r="L90" s="102">
        <f t="shared" si="24"/>
        <v>1467.34</v>
      </c>
      <c r="M90" s="102">
        <f t="shared" si="24"/>
        <v>1458.1399999999999</v>
      </c>
      <c r="N90" s="102">
        <f t="shared" si="24"/>
        <v>1487.04</v>
      </c>
      <c r="O90" s="102">
        <f t="shared" si="24"/>
        <v>1528.4399999999998</v>
      </c>
      <c r="P90" s="102">
        <f t="shared" si="24"/>
        <v>1418.6399999999999</v>
      </c>
      <c r="Q90" s="102">
        <f t="shared" si="24"/>
        <v>1545.54</v>
      </c>
      <c r="R90" s="102">
        <f t="shared" si="24"/>
        <v>1631.1399999999999</v>
      </c>
      <c r="S90" s="102">
        <f t="shared" si="24"/>
        <v>1544.54</v>
      </c>
      <c r="T90" s="102">
        <f t="shared" si="24"/>
        <v>1553.2399999999998</v>
      </c>
      <c r="U90" s="102">
        <f t="shared" si="24"/>
        <v>1535.9399999999998</v>
      </c>
      <c r="V90" s="102">
        <f t="shared" si="24"/>
        <v>1391.2399999999998</v>
      </c>
      <c r="W90" s="102">
        <f t="shared" si="24"/>
        <v>1378.44</v>
      </c>
      <c r="X90" s="102">
        <f t="shared" si="24"/>
        <v>1361.1399999999999</v>
      </c>
      <c r="Y90" s="102">
        <f t="shared" si="24"/>
        <v>1429.8399999999997</v>
      </c>
      <c r="Z90" s="102">
        <v>1727.3399999999997</v>
      </c>
      <c r="AA90" s="102">
        <v>1727.3399999999997</v>
      </c>
      <c r="AB90" s="102">
        <f t="shared" si="24"/>
        <v>1716.7399999999998</v>
      </c>
      <c r="AC90" s="102">
        <f t="shared" si="24"/>
        <v>1643.1399999999999</v>
      </c>
      <c r="AD90" s="102">
        <f t="shared" si="24"/>
        <v>1619.54</v>
      </c>
      <c r="AE90" s="102">
        <f t="shared" si="24"/>
        <v>1506.04</v>
      </c>
      <c r="AF90" s="102">
        <f t="shared" si="24"/>
        <v>1278.28</v>
      </c>
      <c r="AG90" s="95"/>
      <c r="AH90" s="52">
        <f t="shared" si="15"/>
        <v>1727.3399999999997</v>
      </c>
      <c r="AI90" s="53">
        <f t="shared" si="16"/>
        <v>1278.28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5"/>
        <v>0</v>
      </c>
      <c r="AI91" s="53">
        <f t="shared" si="16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5"/>
        <v>0</v>
      </c>
      <c r="AI92" s="53">
        <f t="shared" si="16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5"/>
        <v>0</v>
      </c>
      <c r="AI93" s="53">
        <f t="shared" si="16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5"/>
        <v>0</v>
      </c>
      <c r="AI94" s="53">
        <f t="shared" si="16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5"/>
        <v>0</v>
      </c>
      <c r="AI95" s="53">
        <f t="shared" si="16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5"/>
        <v>0</v>
      </c>
      <c r="AI96" s="53">
        <f t="shared" si="16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5"/>
        <v>0</v>
      </c>
      <c r="AI97" s="53">
        <f t="shared" si="16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" si="25">B82-B97</f>
        <v>550.1</v>
      </c>
      <c r="C98" s="67">
        <f t="shared" ref="C98:AF98" si="26">C82-C97</f>
        <v>552.1</v>
      </c>
      <c r="D98" s="67">
        <f t="shared" si="26"/>
        <v>468.1</v>
      </c>
      <c r="E98" s="67">
        <f t="shared" si="26"/>
        <v>479.59999999999997</v>
      </c>
      <c r="F98" s="67">
        <f t="shared" si="26"/>
        <v>469.70000000000005</v>
      </c>
      <c r="G98" s="67">
        <f t="shared" si="26"/>
        <v>464.4</v>
      </c>
      <c r="H98" s="67">
        <f t="shared" si="26"/>
        <v>498</v>
      </c>
      <c r="I98" s="67">
        <f t="shared" si="26"/>
        <v>508.40000000000003</v>
      </c>
      <c r="J98" s="67">
        <f t="shared" si="26"/>
        <v>538</v>
      </c>
      <c r="K98" s="67">
        <f t="shared" si="26"/>
        <v>571.30000000000007</v>
      </c>
      <c r="L98" s="67">
        <f t="shared" si="26"/>
        <v>551.29999999999995</v>
      </c>
      <c r="M98" s="67">
        <f t="shared" si="26"/>
        <v>567.59999999999991</v>
      </c>
      <c r="N98" s="67">
        <f t="shared" si="26"/>
        <v>627.70000000000005</v>
      </c>
      <c r="O98" s="67">
        <f t="shared" si="26"/>
        <v>651.5</v>
      </c>
      <c r="P98" s="67">
        <f t="shared" si="26"/>
        <v>603.4</v>
      </c>
      <c r="Q98" s="67">
        <f t="shared" si="26"/>
        <v>677.69999999999993</v>
      </c>
      <c r="R98" s="67">
        <f t="shared" si="26"/>
        <v>654.80000000000007</v>
      </c>
      <c r="S98" s="67">
        <f t="shared" si="26"/>
        <v>664.50000000000011</v>
      </c>
      <c r="T98" s="67">
        <f t="shared" si="26"/>
        <v>678.19999999999993</v>
      </c>
      <c r="U98" s="67">
        <f t="shared" si="26"/>
        <v>669.8</v>
      </c>
      <c r="V98" s="67">
        <f t="shared" si="26"/>
        <v>575.19999999999993</v>
      </c>
      <c r="W98" s="67">
        <f t="shared" si="26"/>
        <v>645.4</v>
      </c>
      <c r="X98" s="67">
        <f t="shared" si="26"/>
        <v>628.09999999999991</v>
      </c>
      <c r="Y98" s="67">
        <f t="shared" si="26"/>
        <v>628.09999999999991</v>
      </c>
      <c r="Z98" s="67">
        <v>592.09999999999991</v>
      </c>
      <c r="AA98" s="67">
        <v>592.09999999999991</v>
      </c>
      <c r="AB98" s="67">
        <f t="shared" si="26"/>
        <v>566.1</v>
      </c>
      <c r="AC98" s="67">
        <f t="shared" si="26"/>
        <v>507</v>
      </c>
      <c r="AD98" s="67">
        <f t="shared" si="26"/>
        <v>512</v>
      </c>
      <c r="AE98" s="67">
        <f t="shared" si="26"/>
        <v>508</v>
      </c>
      <c r="AF98" s="67">
        <f t="shared" si="26"/>
        <v>578.6</v>
      </c>
      <c r="AG98" s="95"/>
      <c r="AH98" s="52">
        <f t="shared" si="15"/>
        <v>678.19999999999993</v>
      </c>
      <c r="AI98" s="53">
        <f t="shared" si="16"/>
        <v>464.4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49.99</v>
      </c>
      <c r="C99" s="108">
        <v>50.04</v>
      </c>
      <c r="D99" s="108">
        <v>50.01</v>
      </c>
      <c r="E99" s="108">
        <v>49.982999999999997</v>
      </c>
      <c r="F99" s="108">
        <v>49.978999999999999</v>
      </c>
      <c r="G99" s="108">
        <v>49.976999999999997</v>
      </c>
      <c r="H99" s="108">
        <v>49.901000000000003</v>
      </c>
      <c r="I99" s="108">
        <v>49.731000000000002</v>
      </c>
      <c r="J99" s="108">
        <v>50.003999999999998</v>
      </c>
      <c r="K99" s="108">
        <v>50.107999999999997</v>
      </c>
      <c r="L99" s="108">
        <v>49.92</v>
      </c>
      <c r="M99" s="108">
        <v>50.057000000000002</v>
      </c>
      <c r="N99" s="108">
        <v>50.107999999999997</v>
      </c>
      <c r="O99" s="108">
        <v>50.167999999999999</v>
      </c>
      <c r="P99" s="108">
        <v>50.070999999999998</v>
      </c>
      <c r="Q99" s="108">
        <v>50.052999999999997</v>
      </c>
      <c r="R99" s="108">
        <v>49.923999999999999</v>
      </c>
      <c r="S99" s="108">
        <v>49.744</v>
      </c>
      <c r="T99" s="108">
        <v>49.865000000000002</v>
      </c>
      <c r="U99" s="108">
        <v>50.05</v>
      </c>
      <c r="V99" s="108">
        <v>49.945</v>
      </c>
      <c r="W99" s="108">
        <v>50.033999999999999</v>
      </c>
      <c r="X99" s="108">
        <v>49.94</v>
      </c>
      <c r="Y99" s="108">
        <v>49.94</v>
      </c>
      <c r="Z99" s="108">
        <v>50.048000000000002</v>
      </c>
      <c r="AA99" s="108">
        <v>49.828000000000003</v>
      </c>
      <c r="AB99" s="108">
        <v>49.828000000000003</v>
      </c>
      <c r="AC99" s="108">
        <v>50.026000000000003</v>
      </c>
      <c r="AD99" s="108">
        <v>50</v>
      </c>
      <c r="AE99" s="108">
        <v>50.018999999999998</v>
      </c>
      <c r="AF99" s="108">
        <v>49.944000000000003</v>
      </c>
      <c r="AG99" s="109"/>
      <c r="AH99" s="52">
        <f t="shared" si="15"/>
        <v>50.167999999999999</v>
      </c>
      <c r="AI99" s="53">
        <f t="shared" si="16"/>
        <v>49.731000000000002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128.30000000000001</v>
      </c>
      <c r="C100" s="72">
        <v>128</v>
      </c>
      <c r="D100" s="72">
        <v>127.8</v>
      </c>
      <c r="E100" s="72">
        <v>127.7</v>
      </c>
      <c r="F100" s="72">
        <v>126.8</v>
      </c>
      <c r="G100" s="72">
        <v>126.8</v>
      </c>
      <c r="H100" s="72">
        <v>125.4</v>
      </c>
      <c r="I100" s="72">
        <v>128.1</v>
      </c>
      <c r="J100" s="72">
        <v>128.30000000000001</v>
      </c>
      <c r="K100" s="72">
        <v>127</v>
      </c>
      <c r="L100" s="72">
        <v>126.8</v>
      </c>
      <c r="M100" s="72">
        <v>126.8</v>
      </c>
      <c r="N100" s="72">
        <v>125.9</v>
      </c>
      <c r="O100" s="72">
        <v>126.1</v>
      </c>
      <c r="P100" s="72">
        <v>125.5</v>
      </c>
      <c r="Q100" s="72">
        <v>124.6</v>
      </c>
      <c r="R100" s="72">
        <v>124.6</v>
      </c>
      <c r="S100" s="72">
        <v>123.9</v>
      </c>
      <c r="T100" s="72">
        <v>124.4</v>
      </c>
      <c r="U100" s="72">
        <v>125.1</v>
      </c>
      <c r="V100" s="72">
        <v>127.3</v>
      </c>
      <c r="W100" s="72">
        <v>127.3</v>
      </c>
      <c r="X100" s="72">
        <v>126.3</v>
      </c>
      <c r="Y100" s="72">
        <v>126.3</v>
      </c>
      <c r="Z100" s="72">
        <v>128.5</v>
      </c>
      <c r="AA100" s="72">
        <v>128.5</v>
      </c>
      <c r="AB100" s="72">
        <v>128.5</v>
      </c>
      <c r="AC100" s="72">
        <v>127.7</v>
      </c>
      <c r="AD100" s="72">
        <v>127.7</v>
      </c>
      <c r="AE100" s="72">
        <v>127.7</v>
      </c>
      <c r="AF100" s="72">
        <v>127.7</v>
      </c>
      <c r="AG100" s="111"/>
      <c r="AH100" s="52">
        <f t="shared" si="15"/>
        <v>128.5</v>
      </c>
      <c r="AI100" s="53">
        <f t="shared" si="16"/>
        <v>123.9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131.9</v>
      </c>
      <c r="C101" s="72">
        <v>132.30000000000001</v>
      </c>
      <c r="D101" s="72">
        <v>131.69999999999999</v>
      </c>
      <c r="E101" s="72">
        <v>132.1</v>
      </c>
      <c r="F101" s="72">
        <v>131.4</v>
      </c>
      <c r="G101" s="72">
        <v>131.19999999999999</v>
      </c>
      <c r="H101" s="72">
        <v>129.5</v>
      </c>
      <c r="I101" s="72">
        <v>130.9</v>
      </c>
      <c r="J101" s="72">
        <v>130.4</v>
      </c>
      <c r="K101" s="72">
        <v>129.1</v>
      </c>
      <c r="L101" s="72">
        <v>128.6</v>
      </c>
      <c r="M101" s="72">
        <v>128.6</v>
      </c>
      <c r="N101" s="72">
        <v>128.1</v>
      </c>
      <c r="O101" s="72">
        <v>128.5</v>
      </c>
      <c r="P101" s="72">
        <v>128.85</v>
      </c>
      <c r="Q101" s="72">
        <v>128.69999999999999</v>
      </c>
      <c r="R101" s="72">
        <v>128.69999999999999</v>
      </c>
      <c r="S101" s="72">
        <v>128</v>
      </c>
      <c r="T101" s="72">
        <v>128.19999999999999</v>
      </c>
      <c r="U101" s="72">
        <v>128.5</v>
      </c>
      <c r="V101" s="72">
        <v>129.9</v>
      </c>
      <c r="W101" s="72">
        <v>129.9</v>
      </c>
      <c r="X101" s="72">
        <v>126</v>
      </c>
      <c r="Y101" s="72">
        <v>126</v>
      </c>
      <c r="Z101" s="72">
        <v>131.30000000000001</v>
      </c>
      <c r="AA101" s="72">
        <v>131.30000000000001</v>
      </c>
      <c r="AB101" s="72">
        <v>131.30000000000001</v>
      </c>
      <c r="AC101" s="72">
        <v>130.6</v>
      </c>
      <c r="AD101" s="72">
        <v>130.6</v>
      </c>
      <c r="AE101" s="72">
        <v>130.6</v>
      </c>
      <c r="AF101" s="72">
        <v>130.6</v>
      </c>
      <c r="AG101" s="111"/>
      <c r="AH101" s="52">
        <f t="shared" si="15"/>
        <v>132.30000000000001</v>
      </c>
      <c r="AI101" s="53">
        <f t="shared" si="16"/>
        <v>126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131.1</v>
      </c>
      <c r="C102" s="72">
        <v>128.9</v>
      </c>
      <c r="D102" s="72">
        <v>130.19999999999999</v>
      </c>
      <c r="E102" s="72">
        <v>129.69999999999999</v>
      </c>
      <c r="F102" s="72">
        <v>130</v>
      </c>
      <c r="G102" s="72">
        <v>130.9</v>
      </c>
      <c r="H102" s="72">
        <v>128.5</v>
      </c>
      <c r="I102" s="72">
        <v>127.9</v>
      </c>
      <c r="J102" s="72">
        <v>128.5</v>
      </c>
      <c r="K102" s="72">
        <v>127.8</v>
      </c>
      <c r="L102" s="72">
        <v>126.5</v>
      </c>
      <c r="M102" s="72">
        <v>126.5</v>
      </c>
      <c r="N102" s="72">
        <v>126.7</v>
      </c>
      <c r="O102" s="72">
        <v>122</v>
      </c>
      <c r="P102" s="72">
        <v>127</v>
      </c>
      <c r="Q102" s="72">
        <v>130.69999999999999</v>
      </c>
      <c r="R102" s="72">
        <v>130.69999999999999</v>
      </c>
      <c r="S102" s="72">
        <v>121.8</v>
      </c>
      <c r="T102" s="72">
        <v>118.8</v>
      </c>
      <c r="U102" s="72">
        <v>127</v>
      </c>
      <c r="V102" s="72">
        <v>130.30000000000001</v>
      </c>
      <c r="W102" s="72">
        <v>130.30000000000001</v>
      </c>
      <c r="X102" s="72">
        <v>130</v>
      </c>
      <c r="Y102" s="72">
        <v>130</v>
      </c>
      <c r="Z102" s="72">
        <v>126.3</v>
      </c>
      <c r="AA102" s="72">
        <v>126.3</v>
      </c>
      <c r="AB102" s="72">
        <v>126.3</v>
      </c>
      <c r="AC102" s="72">
        <v>129</v>
      </c>
      <c r="AD102" s="72">
        <v>129</v>
      </c>
      <c r="AE102" s="72">
        <v>129</v>
      </c>
      <c r="AF102" s="72">
        <v>129</v>
      </c>
      <c r="AG102" s="111"/>
      <c r="AH102" s="52">
        <f t="shared" si="15"/>
        <v>131.1</v>
      </c>
      <c r="AI102" s="53">
        <f t="shared" si="16"/>
        <v>118.8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5"/>
        <v>0</v>
      </c>
      <c r="AI103" s="53">
        <f t="shared" si="16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132.1</v>
      </c>
      <c r="C104" s="113">
        <v>135.19999999999999</v>
      </c>
      <c r="D104" s="113">
        <v>135.30000000000001</v>
      </c>
      <c r="E104" s="113">
        <v>133.5</v>
      </c>
      <c r="F104" s="113">
        <v>133.69999999999999</v>
      </c>
      <c r="G104" s="113">
        <v>133.1</v>
      </c>
      <c r="H104" s="113">
        <v>129.19999999999999</v>
      </c>
      <c r="I104" s="113">
        <v>133.6</v>
      </c>
      <c r="J104" s="113">
        <v>133.80000000000001</v>
      </c>
      <c r="K104" s="113">
        <v>133.1</v>
      </c>
      <c r="L104" s="113">
        <v>130.69999999999999</v>
      </c>
      <c r="M104" s="113">
        <v>130.69999999999999</v>
      </c>
      <c r="N104" s="113">
        <v>129.4</v>
      </c>
      <c r="O104" s="113">
        <v>132.4</v>
      </c>
      <c r="P104" s="113">
        <v>133</v>
      </c>
      <c r="Q104" s="113">
        <v>133.5</v>
      </c>
      <c r="R104" s="113">
        <v>133.5</v>
      </c>
      <c r="S104" s="113">
        <v>133.5</v>
      </c>
      <c r="T104" s="113">
        <v>132.6</v>
      </c>
      <c r="U104" s="113">
        <v>133.1</v>
      </c>
      <c r="V104" s="113">
        <v>132</v>
      </c>
      <c r="W104" s="113">
        <v>132</v>
      </c>
      <c r="X104" s="113">
        <v>133</v>
      </c>
      <c r="Y104" s="113">
        <v>133</v>
      </c>
      <c r="Z104" s="113">
        <v>135.6</v>
      </c>
      <c r="AA104" s="113">
        <v>135.6</v>
      </c>
      <c r="AB104" s="113">
        <v>135.6</v>
      </c>
      <c r="AC104" s="113">
        <v>132.19999999999999</v>
      </c>
      <c r="AD104" s="113">
        <v>132.19999999999999</v>
      </c>
      <c r="AE104" s="113">
        <v>132.19999999999999</v>
      </c>
      <c r="AF104" s="113">
        <v>132.19999999999999</v>
      </c>
      <c r="AG104" s="114"/>
      <c r="AH104" s="52">
        <f t="shared" si="15"/>
        <v>135.6</v>
      </c>
      <c r="AI104" s="53">
        <f t="shared" si="16"/>
        <v>129.19999999999999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>
        <v>128.1</v>
      </c>
      <c r="T105" s="72">
        <v>128.19999999999999</v>
      </c>
      <c r="U105" s="72">
        <v>130.19999999999999</v>
      </c>
      <c r="V105" s="72">
        <v>129.1</v>
      </c>
      <c r="W105" s="72">
        <v>129.1</v>
      </c>
      <c r="X105" s="72">
        <v>132</v>
      </c>
      <c r="Y105" s="72">
        <v>132</v>
      </c>
      <c r="Z105" s="72">
        <v>131.6</v>
      </c>
      <c r="AA105" s="72">
        <v>131.6</v>
      </c>
      <c r="AB105" s="72">
        <v>131.6</v>
      </c>
      <c r="AC105" s="72">
        <v>132.6</v>
      </c>
      <c r="AD105" s="72">
        <v>132.6</v>
      </c>
      <c r="AE105" s="72">
        <v>132.6</v>
      </c>
      <c r="AF105" s="72">
        <v>132.6</v>
      </c>
      <c r="AG105" s="111"/>
      <c r="AH105" s="52">
        <f t="shared" si="15"/>
        <v>132.6</v>
      </c>
      <c r="AI105" s="53">
        <f t="shared" si="16"/>
        <v>128.1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66.400000000000006</v>
      </c>
      <c r="C106" s="99">
        <v>66.2</v>
      </c>
      <c r="D106" s="99">
        <v>66.2</v>
      </c>
      <c r="E106" s="99">
        <v>66.099999999999994</v>
      </c>
      <c r="F106" s="99">
        <v>65.8</v>
      </c>
      <c r="G106" s="99">
        <v>65.8</v>
      </c>
      <c r="H106" s="99">
        <v>65.400000000000006</v>
      </c>
      <c r="I106" s="99">
        <v>65.400000000000006</v>
      </c>
      <c r="J106" s="99">
        <v>65.599999999999994</v>
      </c>
      <c r="K106" s="99">
        <v>65</v>
      </c>
      <c r="L106" s="99">
        <v>64.7</v>
      </c>
      <c r="M106" s="99">
        <v>64.7</v>
      </c>
      <c r="N106" s="99">
        <v>64.599999999999994</v>
      </c>
      <c r="O106" s="99">
        <v>64.599999999999994</v>
      </c>
      <c r="P106" s="99">
        <v>64.900000000000006</v>
      </c>
      <c r="Q106" s="99">
        <v>64.8</v>
      </c>
      <c r="R106" s="99">
        <v>64.8</v>
      </c>
      <c r="S106" s="99">
        <v>64.3</v>
      </c>
      <c r="T106" s="99">
        <v>64.3</v>
      </c>
      <c r="U106" s="99">
        <v>64.599999999999994</v>
      </c>
      <c r="V106" s="99">
        <v>65</v>
      </c>
      <c r="W106" s="99">
        <v>65</v>
      </c>
      <c r="X106" s="99">
        <v>65</v>
      </c>
      <c r="Y106" s="99">
        <v>65</v>
      </c>
      <c r="Z106" s="99">
        <v>65.599999999999994</v>
      </c>
      <c r="AA106" s="99">
        <v>65.599999999999994</v>
      </c>
      <c r="AB106" s="99">
        <v>65.599999999999994</v>
      </c>
      <c r="AC106" s="99">
        <v>65.8</v>
      </c>
      <c r="AD106" s="99">
        <v>65.8</v>
      </c>
      <c r="AE106" s="99">
        <v>65.8</v>
      </c>
      <c r="AF106" s="99">
        <v>65.8</v>
      </c>
      <c r="AG106" s="115"/>
      <c r="AH106" s="52">
        <f t="shared" si="15"/>
        <v>66.400000000000006</v>
      </c>
      <c r="AI106" s="53">
        <f t="shared" si="16"/>
        <v>64.3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5"/>
        <v>0</v>
      </c>
      <c r="AI107" s="53">
        <f t="shared" si="16"/>
        <v>0</v>
      </c>
    </row>
    <row r="108" spans="1:88" ht="15.75" thickBot="1" x14ac:dyDescent="0.3">
      <c r="A108" s="117" t="s">
        <v>116</v>
      </c>
      <c r="B108" s="118">
        <f t="shared" ref="B108" si="27">SUM(B18,B24,B27:B28,B56,B58:B59,B61,B63,B109:B113,B135,B141,B147,B156,B158,B170,B177,B180:B181,B188,B190,B192,B196:B198,B200:B202,B207,B213:B214,B216:B218,B226,B231)</f>
        <v>121.8</v>
      </c>
      <c r="C108" s="118">
        <f t="shared" ref="C108:AF108" si="28">SUM(C18,C24,C27:C28,C56,C58:C59,C61,C63,C109:C113,C135,C141,C147,C156,C158,C170,C177,C180:C181,C188,C190,C192,C196:C198,C200:C202,C207,C213:C214,C216:C218,C226,C231)</f>
        <v>116.74</v>
      </c>
      <c r="D108" s="118">
        <f t="shared" si="28"/>
        <v>111.04</v>
      </c>
      <c r="E108" s="118">
        <f t="shared" si="28"/>
        <v>68.740000000000009</v>
      </c>
      <c r="F108" s="118">
        <f t="shared" si="28"/>
        <v>85.44</v>
      </c>
      <c r="G108" s="118">
        <f t="shared" si="28"/>
        <v>102.94000000000001</v>
      </c>
      <c r="H108" s="118">
        <f t="shared" si="28"/>
        <v>151.14000000000001</v>
      </c>
      <c r="I108" s="118">
        <f t="shared" si="28"/>
        <v>175.94</v>
      </c>
      <c r="J108" s="118">
        <f t="shared" si="28"/>
        <v>212.34</v>
      </c>
      <c r="K108" s="118">
        <f t="shared" si="28"/>
        <v>242.74</v>
      </c>
      <c r="L108" s="118">
        <f t="shared" si="28"/>
        <v>255.04000000000002</v>
      </c>
      <c r="M108" s="118">
        <f t="shared" si="28"/>
        <v>248.04000000000002</v>
      </c>
      <c r="N108" s="118">
        <f t="shared" si="28"/>
        <v>275.24</v>
      </c>
      <c r="O108" s="118">
        <f t="shared" si="28"/>
        <v>272.64000000000004</v>
      </c>
      <c r="P108" s="118">
        <v>42</v>
      </c>
      <c r="Q108" s="118">
        <f t="shared" si="28"/>
        <v>252.8</v>
      </c>
      <c r="R108" s="118">
        <f t="shared" si="28"/>
        <v>250.70000000000002</v>
      </c>
      <c r="S108" s="118">
        <f t="shared" si="28"/>
        <v>252.7</v>
      </c>
      <c r="T108" s="118">
        <f t="shared" si="28"/>
        <v>255.39999999999998</v>
      </c>
      <c r="U108" s="118">
        <f t="shared" si="28"/>
        <v>260.10000000000002</v>
      </c>
      <c r="V108" s="118">
        <f t="shared" si="28"/>
        <v>271.5</v>
      </c>
      <c r="W108" s="118">
        <f t="shared" si="28"/>
        <v>279.39999999999998</v>
      </c>
      <c r="X108" s="118">
        <f t="shared" si="28"/>
        <v>297.8</v>
      </c>
      <c r="Y108" s="118">
        <f t="shared" si="28"/>
        <v>297.8</v>
      </c>
      <c r="Z108" s="118">
        <v>416.59708333333327</v>
      </c>
      <c r="AA108" s="118">
        <v>416.59708333333327</v>
      </c>
      <c r="AB108" s="118">
        <f t="shared" si="28"/>
        <v>299</v>
      </c>
      <c r="AC108" s="118">
        <f t="shared" si="28"/>
        <v>283.7</v>
      </c>
      <c r="AD108" s="118">
        <f t="shared" si="28"/>
        <v>249</v>
      </c>
      <c r="AE108" s="118">
        <f t="shared" si="28"/>
        <v>162.69999999999999</v>
      </c>
      <c r="AF108" s="118">
        <f t="shared" si="28"/>
        <v>135.80000000000001</v>
      </c>
      <c r="AG108" s="119"/>
      <c r="AH108" s="52">
        <f t="shared" si="15"/>
        <v>416.59708333333327</v>
      </c>
      <c r="AI108" s="53">
        <f t="shared" si="16"/>
        <v>42</v>
      </c>
    </row>
    <row r="109" spans="1:88" x14ac:dyDescent="0.25">
      <c r="A109" s="107" t="s">
        <v>117</v>
      </c>
      <c r="B109" s="120">
        <v>-22.9</v>
      </c>
      <c r="C109" s="120">
        <v>-20</v>
      </c>
      <c r="D109" s="120">
        <v>-22.9</v>
      </c>
      <c r="E109" s="120">
        <v>-27.6</v>
      </c>
      <c r="F109" s="120">
        <v>-28.3</v>
      </c>
      <c r="G109" s="120">
        <v>-24.9</v>
      </c>
      <c r="H109" s="120">
        <v>-13.7</v>
      </c>
      <c r="I109" s="120">
        <v>-9.6999999999999993</v>
      </c>
      <c r="J109" s="120">
        <v>-9.3000000000000007</v>
      </c>
      <c r="K109" s="120">
        <v>-5.0999999999999996</v>
      </c>
      <c r="L109" s="120">
        <v>-2.2999999999999998</v>
      </c>
      <c r="M109" s="120">
        <v>-7.7</v>
      </c>
      <c r="N109" s="120">
        <v>-9.8000000000000007</v>
      </c>
      <c r="O109" s="120">
        <v>-9.8000000000000007</v>
      </c>
      <c r="P109" s="120">
        <v>5</v>
      </c>
      <c r="Q109" s="120">
        <v>10.6</v>
      </c>
      <c r="R109" s="120">
        <v>4.4000000000000004</v>
      </c>
      <c r="S109" s="120">
        <v>3.7</v>
      </c>
      <c r="T109" s="120">
        <v>4.5999999999999996</v>
      </c>
      <c r="U109" s="120">
        <v>2.9</v>
      </c>
      <c r="V109" s="120">
        <v>-3.1</v>
      </c>
      <c r="W109" s="120">
        <v>1.7</v>
      </c>
      <c r="X109" s="120">
        <v>3</v>
      </c>
      <c r="Y109" s="120">
        <v>3</v>
      </c>
      <c r="Z109" s="120">
        <v>18</v>
      </c>
      <c r="AA109" s="120">
        <v>19.899999999999999</v>
      </c>
      <c r="AB109" s="120">
        <v>14.4</v>
      </c>
      <c r="AC109" s="120">
        <v>8.5</v>
      </c>
      <c r="AD109" s="120">
        <v>2.2999999999999998</v>
      </c>
      <c r="AE109" s="120">
        <v>-8.5</v>
      </c>
      <c r="AF109" s="120">
        <v>-11.1</v>
      </c>
      <c r="AG109" s="121">
        <v>75</v>
      </c>
      <c r="AH109" s="52">
        <f t="shared" si="15"/>
        <v>19.899999999999999</v>
      </c>
      <c r="AI109" s="53">
        <f t="shared" si="16"/>
        <v>-28.3</v>
      </c>
    </row>
    <row r="110" spans="1:88" x14ac:dyDescent="0.25">
      <c r="A110" s="110" t="s">
        <v>118</v>
      </c>
      <c r="B110" s="122">
        <v>-28.2</v>
      </c>
      <c r="C110" s="122">
        <v>-25.5</v>
      </c>
      <c r="D110" s="122">
        <v>-27.7</v>
      </c>
      <c r="E110" s="122">
        <v>-33.6</v>
      </c>
      <c r="F110" s="122">
        <v>-34.9</v>
      </c>
      <c r="G110" s="122">
        <v>-31</v>
      </c>
      <c r="H110" s="122">
        <v>-16.3</v>
      </c>
      <c r="I110" s="122">
        <v>-16.8</v>
      </c>
      <c r="J110" s="122">
        <v>-17.2</v>
      </c>
      <c r="K110" s="122">
        <v>-10.5</v>
      </c>
      <c r="L110" s="122">
        <v>-8.5</v>
      </c>
      <c r="M110" s="122">
        <v>-14.6</v>
      </c>
      <c r="N110" s="122">
        <v>-16.600000000000001</v>
      </c>
      <c r="O110" s="122">
        <v>-12.6</v>
      </c>
      <c r="P110" s="122">
        <v>7.6</v>
      </c>
      <c r="Q110" s="122">
        <v>15.4</v>
      </c>
      <c r="R110" s="122">
        <v>4.2</v>
      </c>
      <c r="S110" s="122">
        <v>4.7</v>
      </c>
      <c r="T110" s="122">
        <v>6.7</v>
      </c>
      <c r="U110" s="122">
        <v>2.6</v>
      </c>
      <c r="V110" s="122">
        <v>-8.5</v>
      </c>
      <c r="W110" s="122">
        <v>-1.1000000000000001</v>
      </c>
      <c r="X110" s="122">
        <v>5</v>
      </c>
      <c r="Y110" s="122">
        <v>5</v>
      </c>
      <c r="Z110" s="122">
        <v>18.399999999999999</v>
      </c>
      <c r="AA110" s="122">
        <v>19.100000000000001</v>
      </c>
      <c r="AB110" s="122">
        <v>13.6</v>
      </c>
      <c r="AC110" s="122">
        <v>8.1</v>
      </c>
      <c r="AD110" s="122">
        <v>0</v>
      </c>
      <c r="AE110" s="122">
        <v>-11.7</v>
      </c>
      <c r="AF110" s="122">
        <v>-15.7</v>
      </c>
      <c r="AG110" s="121">
        <v>240</v>
      </c>
      <c r="AH110" s="52">
        <f t="shared" si="15"/>
        <v>19.100000000000001</v>
      </c>
      <c r="AI110" s="53">
        <f t="shared" si="16"/>
        <v>-34.9</v>
      </c>
    </row>
    <row r="111" spans="1:88" x14ac:dyDescent="0.25">
      <c r="A111" s="110" t="s">
        <v>119</v>
      </c>
      <c r="B111" s="122">
        <f>-9.8-20</f>
        <v>-29.8</v>
      </c>
      <c r="C111" s="122">
        <f>-14.8-24.8</f>
        <v>-39.6</v>
      </c>
      <c r="D111" s="122">
        <f>-12.6-23.6</f>
        <v>-36.200000000000003</v>
      </c>
      <c r="E111" s="122">
        <v>-74</v>
      </c>
      <c r="F111" s="122">
        <v>-69</v>
      </c>
      <c r="G111" s="122">
        <v>-60</v>
      </c>
      <c r="H111" s="122">
        <v>-47</v>
      </c>
      <c r="I111" s="122">
        <v>-27</v>
      </c>
      <c r="J111" s="122">
        <v>-9</v>
      </c>
      <c r="K111" s="122">
        <v>5</v>
      </c>
      <c r="L111" s="122">
        <v>8.4</v>
      </c>
      <c r="M111" s="122">
        <v>9.6999999999999993</v>
      </c>
      <c r="N111" s="122">
        <v>48.6</v>
      </c>
      <c r="O111" s="122">
        <f>22.4+16</f>
        <v>38.4</v>
      </c>
      <c r="P111" s="122">
        <v>4</v>
      </c>
      <c r="Q111" s="122">
        <v>-10</v>
      </c>
      <c r="R111" s="122">
        <v>2.6</v>
      </c>
      <c r="S111" s="122">
        <v>-2</v>
      </c>
      <c r="T111" s="122">
        <v>-1.4</v>
      </c>
      <c r="U111" s="122">
        <v>6.1</v>
      </c>
      <c r="V111" s="122">
        <v>29.5</v>
      </c>
      <c r="W111" s="122">
        <v>25.9</v>
      </c>
      <c r="X111" s="122">
        <v>35</v>
      </c>
      <c r="Y111" s="122">
        <v>35</v>
      </c>
      <c r="Z111" s="122">
        <v>64.8</v>
      </c>
      <c r="AA111" s="122">
        <v>63.12</v>
      </c>
      <c r="AB111" s="122">
        <v>54</v>
      </c>
      <c r="AC111" s="122">
        <v>27</v>
      </c>
      <c r="AD111" s="122">
        <v>16.600000000000001</v>
      </c>
      <c r="AE111" s="122">
        <v>-16</v>
      </c>
      <c r="AF111" s="122">
        <v>-25.6</v>
      </c>
      <c r="AG111" s="121">
        <v>240</v>
      </c>
      <c r="AH111" s="52">
        <f t="shared" si="15"/>
        <v>64.8</v>
      </c>
      <c r="AI111" s="53">
        <f t="shared" si="16"/>
        <v>-74</v>
      </c>
    </row>
    <row r="112" spans="1:88" x14ac:dyDescent="0.25">
      <c r="A112" s="110" t="s">
        <v>120</v>
      </c>
      <c r="B112" s="122">
        <v>28.9</v>
      </c>
      <c r="C112" s="122">
        <v>28.4</v>
      </c>
      <c r="D112" s="122">
        <v>24.1</v>
      </c>
      <c r="E112" s="122">
        <v>26.5</v>
      </c>
      <c r="F112" s="122">
        <v>32</v>
      </c>
      <c r="G112" s="122">
        <v>31.3</v>
      </c>
      <c r="H112" s="122">
        <v>34.6</v>
      </c>
      <c r="I112" s="122">
        <v>40.799999999999997</v>
      </c>
      <c r="J112" s="122">
        <v>47.5</v>
      </c>
      <c r="K112" s="122">
        <v>51.5</v>
      </c>
      <c r="L112" s="122">
        <v>50.4</v>
      </c>
      <c r="M112" s="122">
        <v>52.6</v>
      </c>
      <c r="N112" s="122">
        <v>43</v>
      </c>
      <c r="O112" s="122">
        <v>48.6</v>
      </c>
      <c r="P112" s="122">
        <v>45.3</v>
      </c>
      <c r="Q112" s="122">
        <v>42.8</v>
      </c>
      <c r="R112" s="122">
        <v>39.700000000000003</v>
      </c>
      <c r="S112" s="122">
        <v>38.799999999999997</v>
      </c>
      <c r="T112" s="122">
        <v>39.4</v>
      </c>
      <c r="U112" s="122">
        <v>43.6</v>
      </c>
      <c r="V112" s="122">
        <v>47.1</v>
      </c>
      <c r="W112" s="122">
        <v>34.200000000000003</v>
      </c>
      <c r="X112" s="122">
        <v>37</v>
      </c>
      <c r="Y112" s="122">
        <v>37</v>
      </c>
      <c r="Z112" s="122">
        <v>55.2</v>
      </c>
      <c r="AA112" s="122">
        <v>55.2</v>
      </c>
      <c r="AB112" s="122">
        <v>45.4</v>
      </c>
      <c r="AC112" s="122">
        <v>40.1</v>
      </c>
      <c r="AD112" s="122">
        <v>34</v>
      </c>
      <c r="AE112" s="122">
        <v>24.8</v>
      </c>
      <c r="AF112" s="122">
        <v>34.799999999999997</v>
      </c>
      <c r="AG112" s="121">
        <v>60</v>
      </c>
      <c r="AH112" s="52">
        <f t="shared" si="15"/>
        <v>55.2</v>
      </c>
      <c r="AI112" s="53">
        <f t="shared" si="16"/>
        <v>24.1</v>
      </c>
    </row>
    <row r="113" spans="1:37" x14ac:dyDescent="0.25">
      <c r="A113" s="123" t="s">
        <v>121</v>
      </c>
      <c r="B113" s="124">
        <v>91.8</v>
      </c>
      <c r="C113" s="124">
        <v>90.2</v>
      </c>
      <c r="D113" s="124">
        <v>90.7</v>
      </c>
      <c r="E113" s="124">
        <v>94.4</v>
      </c>
      <c r="F113" s="124">
        <v>102.6</v>
      </c>
      <c r="G113" s="124">
        <v>104.5</v>
      </c>
      <c r="H113" s="124">
        <v>110.5</v>
      </c>
      <c r="I113" s="124">
        <v>105.6</v>
      </c>
      <c r="J113" s="124">
        <v>117.3</v>
      </c>
      <c r="K113" s="124">
        <v>115.6</v>
      </c>
      <c r="L113" s="124">
        <v>117.5</v>
      </c>
      <c r="M113" s="124">
        <v>116</v>
      </c>
      <c r="N113" s="124">
        <v>118</v>
      </c>
      <c r="O113" s="124">
        <v>116</v>
      </c>
      <c r="P113" s="124">
        <v>100.9</v>
      </c>
      <c r="Q113" s="124">
        <v>104.2</v>
      </c>
      <c r="R113" s="124">
        <v>110</v>
      </c>
      <c r="S113" s="124">
        <v>117.7</v>
      </c>
      <c r="T113" s="124">
        <v>116.3</v>
      </c>
      <c r="U113" s="124">
        <v>115.1</v>
      </c>
      <c r="V113" s="124">
        <v>116.7</v>
      </c>
      <c r="W113" s="124">
        <v>128.9</v>
      </c>
      <c r="X113" s="124">
        <v>128</v>
      </c>
      <c r="Y113" s="124">
        <v>128</v>
      </c>
      <c r="Z113" s="124">
        <v>118.9</v>
      </c>
      <c r="AA113" s="124">
        <v>118.9</v>
      </c>
      <c r="AB113" s="124">
        <v>93</v>
      </c>
      <c r="AC113" s="124">
        <v>120.1</v>
      </c>
      <c r="AD113" s="124">
        <v>116.5</v>
      </c>
      <c r="AE113" s="124">
        <v>94.2</v>
      </c>
      <c r="AF113" s="124">
        <v>73.5</v>
      </c>
      <c r="AG113" s="125">
        <v>120</v>
      </c>
      <c r="AH113" s="52">
        <f t="shared" si="15"/>
        <v>128.9</v>
      </c>
      <c r="AI113" s="53">
        <f t="shared" si="16"/>
        <v>73.5</v>
      </c>
    </row>
    <row r="114" spans="1:37" x14ac:dyDescent="0.25">
      <c r="A114" s="123" t="s">
        <v>122</v>
      </c>
      <c r="B114" s="124">
        <v>99.9</v>
      </c>
      <c r="C114" s="124">
        <v>102.5</v>
      </c>
      <c r="D114" s="124">
        <v>101.4</v>
      </c>
      <c r="E114" s="124">
        <v>103.9</v>
      </c>
      <c r="F114" s="124">
        <v>108.1</v>
      </c>
      <c r="G114" s="124">
        <v>106.2</v>
      </c>
      <c r="H114" s="124">
        <v>106.3</v>
      </c>
      <c r="I114" s="124">
        <v>98</v>
      </c>
      <c r="J114" s="124">
        <v>99.7</v>
      </c>
      <c r="K114" s="124">
        <v>92</v>
      </c>
      <c r="L114" s="124">
        <v>90</v>
      </c>
      <c r="M114" s="124">
        <v>89.6</v>
      </c>
      <c r="N114" s="124">
        <v>93.6</v>
      </c>
      <c r="O114" s="124">
        <v>95.2</v>
      </c>
      <c r="P114" s="124">
        <v>100.5</v>
      </c>
      <c r="Q114" s="124">
        <v>109.7</v>
      </c>
      <c r="R114" s="124">
        <v>107</v>
      </c>
      <c r="S114" s="124">
        <v>115</v>
      </c>
      <c r="T114" s="124">
        <v>115.6</v>
      </c>
      <c r="U114" s="124">
        <v>111.3</v>
      </c>
      <c r="V114" s="124">
        <v>97.8</v>
      </c>
      <c r="W114" s="124">
        <v>106.9</v>
      </c>
      <c r="X114" s="124">
        <v>106</v>
      </c>
      <c r="Y114" s="124">
        <v>106</v>
      </c>
      <c r="Z114" s="124">
        <v>83.6</v>
      </c>
      <c r="AA114" s="124">
        <v>83.6</v>
      </c>
      <c r="AB114" s="124">
        <v>113.1</v>
      </c>
      <c r="AC114" s="124">
        <v>95.9</v>
      </c>
      <c r="AD114" s="124">
        <v>94</v>
      </c>
      <c r="AE114" s="124">
        <v>93.9</v>
      </c>
      <c r="AF114" s="124">
        <v>85.1</v>
      </c>
      <c r="AG114" s="125"/>
      <c r="AH114" s="52">
        <f t="shared" si="15"/>
        <v>115.6</v>
      </c>
      <c r="AI114" s="53">
        <f t="shared" si="16"/>
        <v>83.6</v>
      </c>
    </row>
    <row r="115" spans="1:37" x14ac:dyDescent="0.25">
      <c r="A115" s="123" t="s">
        <v>123</v>
      </c>
      <c r="B115" s="124"/>
      <c r="C115" s="124"/>
      <c r="D115" s="124"/>
      <c r="E115" s="124"/>
      <c r="F115" s="124"/>
      <c r="G115" s="124"/>
      <c r="H115" s="124"/>
      <c r="I115" s="124"/>
      <c r="J115" s="124">
        <v>38.799999999999997</v>
      </c>
      <c r="K115" s="124"/>
      <c r="L115" s="124">
        <v>31.8</v>
      </c>
      <c r="M115" s="124"/>
      <c r="N115" s="124">
        <v>35.4</v>
      </c>
      <c r="O115" s="124"/>
      <c r="P115" s="124"/>
      <c r="Q115" s="124"/>
      <c r="R115" s="124"/>
      <c r="S115" s="124"/>
      <c r="T115" s="124"/>
      <c r="U115" s="124">
        <v>37.1</v>
      </c>
      <c r="V115" s="124">
        <v>31.9</v>
      </c>
      <c r="W115" s="124"/>
      <c r="X115" s="124"/>
      <c r="Y115" s="124"/>
      <c r="Z115" s="124">
        <v>20.9</v>
      </c>
      <c r="AA115" s="124">
        <v>20.9</v>
      </c>
      <c r="AB115" s="124"/>
      <c r="AC115" s="124"/>
      <c r="AD115" s="124">
        <v>37.799999999999997</v>
      </c>
      <c r="AE115" s="124">
        <v>48.1</v>
      </c>
      <c r="AF115" s="124"/>
      <c r="AG115" s="126"/>
      <c r="AH115" s="52">
        <f t="shared" si="15"/>
        <v>48.1</v>
      </c>
      <c r="AI115" s="53">
        <f t="shared" si="16"/>
        <v>20.9</v>
      </c>
    </row>
    <row r="116" spans="1:37" x14ac:dyDescent="0.25">
      <c r="A116" s="127" t="s">
        <v>124</v>
      </c>
      <c r="B116" s="113">
        <v>-2.2999999999999998</v>
      </c>
      <c r="C116" s="113">
        <v>0</v>
      </c>
      <c r="D116" s="113">
        <v>1</v>
      </c>
      <c r="E116" s="113">
        <v>0.6</v>
      </c>
      <c r="F116" s="113">
        <v>0.6</v>
      </c>
      <c r="G116" s="113">
        <v>-2.5</v>
      </c>
      <c r="H116" s="113">
        <v>-7.3</v>
      </c>
      <c r="I116" s="113">
        <v>-10.3</v>
      </c>
      <c r="J116" s="113">
        <v>-16.2</v>
      </c>
      <c r="K116" s="113">
        <v>-19.3</v>
      </c>
      <c r="L116" s="113">
        <v>-23.6</v>
      </c>
      <c r="M116" s="113">
        <v>-19.5</v>
      </c>
      <c r="N116" s="113">
        <v>-17.100000000000001</v>
      </c>
      <c r="O116" s="113">
        <v>-31.9</v>
      </c>
      <c r="P116" s="113">
        <v>-34</v>
      </c>
      <c r="Q116" s="113">
        <v>-45.2</v>
      </c>
      <c r="R116" s="113">
        <v>-48.7</v>
      </c>
      <c r="S116" s="113">
        <v>-45.7</v>
      </c>
      <c r="T116" s="113">
        <v>-30.6</v>
      </c>
      <c r="U116" s="113">
        <v>-42</v>
      </c>
      <c r="V116" s="113">
        <v>-46.7</v>
      </c>
      <c r="W116" s="113">
        <v>-50.1</v>
      </c>
      <c r="X116" s="113">
        <v>-50</v>
      </c>
      <c r="Y116" s="113">
        <v>-50</v>
      </c>
      <c r="Z116" s="113">
        <v>-56.9</v>
      </c>
      <c r="AA116" s="113">
        <v>-56.9</v>
      </c>
      <c r="AB116" s="113">
        <v>-48.5</v>
      </c>
      <c r="AC116" s="113">
        <v>-45.9</v>
      </c>
      <c r="AD116" s="113">
        <v>-41.8</v>
      </c>
      <c r="AE116" s="113">
        <v>-26.6</v>
      </c>
      <c r="AF116" s="113">
        <v>-19.600000000000001</v>
      </c>
      <c r="AG116" s="126"/>
      <c r="AH116" s="52">
        <f t="shared" si="15"/>
        <v>1</v>
      </c>
      <c r="AI116" s="53">
        <f t="shared" si="16"/>
        <v>-56.9</v>
      </c>
    </row>
    <row r="117" spans="1:37" ht="15.75" thickBot="1" x14ac:dyDescent="0.3">
      <c r="A117" s="127" t="s">
        <v>125</v>
      </c>
      <c r="B117" s="113">
        <v>97.8</v>
      </c>
      <c r="C117" s="113">
        <v>93.5</v>
      </c>
      <c r="D117" s="113">
        <v>90.3</v>
      </c>
      <c r="E117" s="113">
        <v>85.8</v>
      </c>
      <c r="F117" s="113">
        <v>85.1</v>
      </c>
      <c r="G117" s="113">
        <v>80.7</v>
      </c>
      <c r="H117" s="113">
        <v>84</v>
      </c>
      <c r="I117" s="113">
        <v>85.4</v>
      </c>
      <c r="J117" s="113">
        <v>88.5</v>
      </c>
      <c r="K117" s="113">
        <v>94.2</v>
      </c>
      <c r="L117" s="113">
        <v>98.5</v>
      </c>
      <c r="M117" s="113">
        <v>87.4</v>
      </c>
      <c r="N117" s="113">
        <v>95.6</v>
      </c>
      <c r="O117" s="113">
        <v>103.6</v>
      </c>
      <c r="P117" s="113">
        <v>91.4</v>
      </c>
      <c r="Q117" s="113">
        <v>112</v>
      </c>
      <c r="R117" s="113">
        <v>111</v>
      </c>
      <c r="S117" s="113">
        <v>98.5</v>
      </c>
      <c r="T117" s="113">
        <v>90.6</v>
      </c>
      <c r="U117" s="113">
        <v>105.6</v>
      </c>
      <c r="V117" s="113">
        <v>102</v>
      </c>
      <c r="W117" s="113">
        <v>103</v>
      </c>
      <c r="X117" s="113">
        <v>100</v>
      </c>
      <c r="Y117" s="113">
        <v>100</v>
      </c>
      <c r="Z117" s="113">
        <v>116.9</v>
      </c>
      <c r="AA117" s="113">
        <v>116.9</v>
      </c>
      <c r="AB117" s="113">
        <v>111.1</v>
      </c>
      <c r="AC117" s="113">
        <v>111</v>
      </c>
      <c r="AD117" s="113">
        <v>109.33</v>
      </c>
      <c r="AE117" s="113">
        <v>99.8</v>
      </c>
      <c r="AF117" s="113">
        <v>99.1</v>
      </c>
      <c r="AG117" s="126"/>
      <c r="AH117" s="52">
        <f t="shared" si="15"/>
        <v>116.9</v>
      </c>
      <c r="AI117" s="53">
        <f t="shared" si="16"/>
        <v>80.7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29">SUM(B119:B223)</f>
        <v>0</v>
      </c>
      <c r="C224" s="144">
        <f t="shared" si="29"/>
        <v>0</v>
      </c>
      <c r="D224" s="144">
        <f t="shared" si="29"/>
        <v>0</v>
      </c>
      <c r="E224" s="144">
        <f t="shared" si="29"/>
        <v>0</v>
      </c>
      <c r="F224" s="144">
        <f t="shared" si="29"/>
        <v>0</v>
      </c>
      <c r="G224" s="144">
        <f t="shared" si="29"/>
        <v>0</v>
      </c>
      <c r="H224" s="144">
        <f t="shared" si="29"/>
        <v>0</v>
      </c>
      <c r="I224" s="144">
        <f t="shared" si="29"/>
        <v>0</v>
      </c>
      <c r="J224" s="144">
        <f t="shared" si="29"/>
        <v>0</v>
      </c>
      <c r="K224" s="144">
        <f t="shared" si="29"/>
        <v>0</v>
      </c>
      <c r="L224" s="144">
        <f t="shared" si="29"/>
        <v>0</v>
      </c>
      <c r="M224" s="144">
        <f t="shared" si="29"/>
        <v>0</v>
      </c>
      <c r="N224" s="144">
        <f t="shared" si="29"/>
        <v>0</v>
      </c>
      <c r="O224" s="144">
        <f t="shared" si="29"/>
        <v>0</v>
      </c>
      <c r="P224" s="144">
        <f t="shared" si="29"/>
        <v>0</v>
      </c>
      <c r="Q224" s="144">
        <f t="shared" si="29"/>
        <v>0</v>
      </c>
      <c r="R224" s="144">
        <f t="shared" si="29"/>
        <v>0</v>
      </c>
      <c r="S224" s="144">
        <f t="shared" si="29"/>
        <v>0</v>
      </c>
      <c r="T224" s="144">
        <f t="shared" si="29"/>
        <v>0</v>
      </c>
      <c r="U224" s="144">
        <f t="shared" si="29"/>
        <v>0</v>
      </c>
      <c r="V224" s="144">
        <f t="shared" si="29"/>
        <v>0</v>
      </c>
      <c r="W224" s="144">
        <f t="shared" si="29"/>
        <v>0</v>
      </c>
      <c r="X224" s="144">
        <f t="shared" si="29"/>
        <v>0</v>
      </c>
      <c r="Y224" s="144">
        <f t="shared" si="29"/>
        <v>0</v>
      </c>
      <c r="Z224" s="144">
        <f t="shared" si="29"/>
        <v>0</v>
      </c>
      <c r="AA224" s="144">
        <f t="shared" si="29"/>
        <v>0</v>
      </c>
      <c r="AB224" s="144">
        <f t="shared" si="29"/>
        <v>0</v>
      </c>
      <c r="AC224" s="144">
        <f t="shared" si="29"/>
        <v>0</v>
      </c>
      <c r="AD224" s="144">
        <f t="shared" si="29"/>
        <v>0</v>
      </c>
      <c r="AE224" s="144">
        <f t="shared" si="29"/>
        <v>0</v>
      </c>
      <c r="AF224" s="145">
        <f t="shared" si="29"/>
        <v>0</v>
      </c>
      <c r="AG224" s="146">
        <f t="shared" si="29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30">AF226</f>
        <v>0</v>
      </c>
      <c r="C226" s="149">
        <v>0.3</v>
      </c>
      <c r="D226" s="149">
        <f t="shared" ref="D226:P231" si="31">C226</f>
        <v>0.3</v>
      </c>
      <c r="E226" s="149">
        <f t="shared" si="31"/>
        <v>0.3</v>
      </c>
      <c r="F226" s="149">
        <f t="shared" si="31"/>
        <v>0.3</v>
      </c>
      <c r="G226" s="149">
        <f t="shared" si="31"/>
        <v>0.3</v>
      </c>
      <c r="H226" s="149">
        <f t="shared" si="31"/>
        <v>0.3</v>
      </c>
      <c r="I226" s="149">
        <f t="shared" si="31"/>
        <v>0.3</v>
      </c>
      <c r="J226" s="149">
        <f t="shared" si="31"/>
        <v>0.3</v>
      </c>
      <c r="K226" s="149">
        <f t="shared" si="31"/>
        <v>0.3</v>
      </c>
      <c r="L226" s="149">
        <f t="shared" si="31"/>
        <v>0.3</v>
      </c>
      <c r="M226" s="149">
        <f t="shared" si="31"/>
        <v>0.3</v>
      </c>
      <c r="N226" s="149">
        <f t="shared" si="31"/>
        <v>0.3</v>
      </c>
      <c r="O226" s="149">
        <f t="shared" si="31"/>
        <v>0.3</v>
      </c>
      <c r="P226" s="149">
        <f t="shared" si="31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30"/>
        <v>0</v>
      </c>
      <c r="C227" s="136">
        <v>0.4</v>
      </c>
      <c r="D227" s="136">
        <f t="shared" si="31"/>
        <v>0.4</v>
      </c>
      <c r="E227" s="136">
        <f t="shared" si="31"/>
        <v>0.4</v>
      </c>
      <c r="F227" s="136">
        <f t="shared" si="31"/>
        <v>0.4</v>
      </c>
      <c r="G227" s="136">
        <f t="shared" si="31"/>
        <v>0.4</v>
      </c>
      <c r="H227" s="136">
        <f t="shared" si="31"/>
        <v>0.4</v>
      </c>
      <c r="I227" s="136">
        <f t="shared" si="31"/>
        <v>0.4</v>
      </c>
      <c r="J227" s="136">
        <f t="shared" si="31"/>
        <v>0.4</v>
      </c>
      <c r="K227" s="136">
        <f t="shared" si="31"/>
        <v>0.4</v>
      </c>
      <c r="L227" s="136">
        <f t="shared" si="31"/>
        <v>0.4</v>
      </c>
      <c r="M227" s="136">
        <f t="shared" si="31"/>
        <v>0.4</v>
      </c>
      <c r="N227" s="136">
        <f t="shared" si="31"/>
        <v>0.4</v>
      </c>
      <c r="O227" s="136">
        <f t="shared" si="31"/>
        <v>0.4</v>
      </c>
      <c r="P227" s="136">
        <f t="shared" si="31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30"/>
        <v>0</v>
      </c>
      <c r="C228" s="136">
        <v>1.5</v>
      </c>
      <c r="D228" s="136">
        <f t="shared" si="31"/>
        <v>1.5</v>
      </c>
      <c r="E228" s="136">
        <f t="shared" si="31"/>
        <v>1.5</v>
      </c>
      <c r="F228" s="136">
        <f t="shared" si="31"/>
        <v>1.5</v>
      </c>
      <c r="G228" s="136">
        <f t="shared" si="31"/>
        <v>1.5</v>
      </c>
      <c r="H228" s="136">
        <f t="shared" si="31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31"/>
        <v>1.5</v>
      </c>
      <c r="K228" s="136">
        <f t="shared" ca="1" si="31"/>
        <v>1.5</v>
      </c>
      <c r="L228" s="136">
        <f t="shared" ca="1" si="31"/>
        <v>1.5</v>
      </c>
      <c r="M228" s="136">
        <f t="shared" ca="1" si="31"/>
        <v>1.5</v>
      </c>
      <c r="N228" s="136">
        <f t="shared" ca="1" si="31"/>
        <v>1.5</v>
      </c>
      <c r="O228" s="136">
        <f t="shared" ca="1" si="31"/>
        <v>1.5</v>
      </c>
      <c r="P228" s="136">
        <f t="shared" ca="1" si="31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30"/>
        <v>0</v>
      </c>
      <c r="C229" s="136">
        <v>0.3</v>
      </c>
      <c r="D229" s="136">
        <f t="shared" si="31"/>
        <v>0.3</v>
      </c>
      <c r="E229" s="136">
        <f t="shared" si="31"/>
        <v>0.3</v>
      </c>
      <c r="F229" s="136">
        <f t="shared" si="31"/>
        <v>0.3</v>
      </c>
      <c r="G229" s="136">
        <f t="shared" si="31"/>
        <v>0.3</v>
      </c>
      <c r="H229" s="136">
        <f t="shared" si="31"/>
        <v>0.3</v>
      </c>
      <c r="I229" s="136">
        <f t="shared" si="31"/>
        <v>0.3</v>
      </c>
      <c r="J229" s="136">
        <f t="shared" si="31"/>
        <v>0.3</v>
      </c>
      <c r="K229" s="136">
        <f t="shared" si="31"/>
        <v>0.3</v>
      </c>
      <c r="L229" s="136">
        <f t="shared" si="31"/>
        <v>0.3</v>
      </c>
      <c r="M229" s="136">
        <f t="shared" si="31"/>
        <v>0.3</v>
      </c>
      <c r="N229" s="136">
        <f t="shared" si="31"/>
        <v>0.3</v>
      </c>
      <c r="O229" s="136">
        <f t="shared" si="31"/>
        <v>0.3</v>
      </c>
      <c r="P229" s="136">
        <f t="shared" si="31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30"/>
        <v>0</v>
      </c>
      <c r="C230" s="136">
        <v>0.4</v>
      </c>
      <c r="D230" s="136">
        <f t="shared" si="31"/>
        <v>0.4</v>
      </c>
      <c r="E230" s="136">
        <f t="shared" si="31"/>
        <v>0.4</v>
      </c>
      <c r="F230" s="136">
        <f t="shared" si="31"/>
        <v>0.4</v>
      </c>
      <c r="G230" s="136">
        <f t="shared" si="31"/>
        <v>0.4</v>
      </c>
      <c r="H230" s="136">
        <f t="shared" si="31"/>
        <v>0.4</v>
      </c>
      <c r="I230" s="136">
        <f t="shared" si="31"/>
        <v>0.4</v>
      </c>
      <c r="J230" s="136">
        <f t="shared" si="31"/>
        <v>0.4</v>
      </c>
      <c r="K230" s="136">
        <f t="shared" si="31"/>
        <v>0.4</v>
      </c>
      <c r="L230" s="136">
        <f t="shared" si="31"/>
        <v>0.4</v>
      </c>
      <c r="M230" s="136">
        <f t="shared" si="31"/>
        <v>0.4</v>
      </c>
      <c r="N230" s="136">
        <f t="shared" si="31"/>
        <v>0.4</v>
      </c>
      <c r="O230" s="136">
        <f t="shared" si="31"/>
        <v>0.4</v>
      </c>
      <c r="P230" s="136">
        <f t="shared" si="31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30"/>
        <v>0</v>
      </c>
      <c r="C231" s="140">
        <v>0.64</v>
      </c>
      <c r="D231" s="140">
        <f t="shared" si="31"/>
        <v>0.64</v>
      </c>
      <c r="E231" s="140">
        <f t="shared" si="31"/>
        <v>0.64</v>
      </c>
      <c r="F231" s="140">
        <f t="shared" si="31"/>
        <v>0.64</v>
      </c>
      <c r="G231" s="140">
        <f t="shared" si="31"/>
        <v>0.64</v>
      </c>
      <c r="H231" s="140">
        <f t="shared" si="31"/>
        <v>0.64</v>
      </c>
      <c r="I231" s="140">
        <f t="shared" si="31"/>
        <v>0.64</v>
      </c>
      <c r="J231" s="140">
        <f t="shared" si="31"/>
        <v>0.64</v>
      </c>
      <c r="K231" s="140">
        <f t="shared" si="31"/>
        <v>0.64</v>
      </c>
      <c r="L231" s="140">
        <f t="shared" si="31"/>
        <v>0.64</v>
      </c>
      <c r="M231" s="140">
        <f t="shared" si="31"/>
        <v>0.64</v>
      </c>
      <c r="N231" s="140">
        <f t="shared" si="31"/>
        <v>0.64</v>
      </c>
      <c r="O231" s="140">
        <f t="shared" si="31"/>
        <v>0.64</v>
      </c>
      <c r="P231" s="140">
        <f t="shared" si="31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32">SUM(B226:B231)</f>
        <v>0</v>
      </c>
      <c r="C232" s="144">
        <f t="shared" si="32"/>
        <v>3.54</v>
      </c>
      <c r="D232" s="144">
        <f t="shared" si="32"/>
        <v>3.54</v>
      </c>
      <c r="E232" s="144">
        <f t="shared" si="32"/>
        <v>3.54</v>
      </c>
      <c r="F232" s="144">
        <f t="shared" si="32"/>
        <v>3.54</v>
      </c>
      <c r="G232" s="144">
        <f t="shared" si="32"/>
        <v>3.54</v>
      </c>
      <c r="H232" s="144">
        <f t="shared" si="32"/>
        <v>3.54</v>
      </c>
      <c r="I232" s="144">
        <f t="shared" ca="1" si="32"/>
        <v>3.54</v>
      </c>
      <c r="J232" s="144">
        <f t="shared" ca="1" si="32"/>
        <v>3.54</v>
      </c>
      <c r="K232" s="144">
        <f t="shared" ca="1" si="32"/>
        <v>3.54</v>
      </c>
      <c r="L232" s="144">
        <f t="shared" ca="1" si="32"/>
        <v>3.54</v>
      </c>
      <c r="M232" s="144">
        <f t="shared" ca="1" si="32"/>
        <v>3.54</v>
      </c>
      <c r="N232" s="144">
        <f t="shared" ca="1" si="32"/>
        <v>3.54</v>
      </c>
      <c r="O232" s="144">
        <f t="shared" ca="1" si="32"/>
        <v>3.54</v>
      </c>
      <c r="P232" s="144">
        <f t="shared" ca="1" si="32"/>
        <v>3.54</v>
      </c>
      <c r="Q232" s="144">
        <f t="shared" si="32"/>
        <v>0</v>
      </c>
      <c r="R232" s="144">
        <f t="shared" si="32"/>
        <v>0</v>
      </c>
      <c r="S232" s="144">
        <f t="shared" si="32"/>
        <v>0</v>
      </c>
      <c r="T232" s="144">
        <f t="shared" si="32"/>
        <v>0</v>
      </c>
      <c r="U232" s="144">
        <f t="shared" si="32"/>
        <v>0</v>
      </c>
      <c r="V232" s="144">
        <f t="shared" si="32"/>
        <v>0</v>
      </c>
      <c r="W232" s="144">
        <f t="shared" si="32"/>
        <v>0</v>
      </c>
      <c r="X232" s="144">
        <f t="shared" si="32"/>
        <v>0</v>
      </c>
      <c r="Y232" s="144">
        <f t="shared" si="32"/>
        <v>0</v>
      </c>
      <c r="Z232" s="144">
        <f t="shared" si="32"/>
        <v>0</v>
      </c>
      <c r="AA232" s="144">
        <f t="shared" si="32"/>
        <v>0</v>
      </c>
      <c r="AB232" s="144">
        <f t="shared" si="32"/>
        <v>0</v>
      </c>
      <c r="AC232" s="144">
        <f t="shared" si="32"/>
        <v>0</v>
      </c>
      <c r="AD232" s="144">
        <f t="shared" si="32"/>
        <v>0</v>
      </c>
      <c r="AE232" s="144">
        <f t="shared" si="32"/>
        <v>0</v>
      </c>
      <c r="AF232" s="144">
        <f t="shared" si="32"/>
        <v>0</v>
      </c>
      <c r="AG232" s="154">
        <f t="shared" si="32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1487.04</v>
      </c>
      <c r="C241" s="170">
        <f>INDEX(G9:N9,1,MATCH(MAX(G89:N89),G89:N89,0))</f>
        <v>0.375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13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2079/12/13)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2079/12/13)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33">B89</f>
        <v>1342.44</v>
      </c>
      <c r="U246" s="180">
        <f t="shared" si="33"/>
        <v>1331.8400000000001</v>
      </c>
      <c r="V246" s="180">
        <f t="shared" si="33"/>
        <v>1295.74</v>
      </c>
      <c r="W246" s="180">
        <f t="shared" si="33"/>
        <v>1307.24</v>
      </c>
      <c r="X246" s="180">
        <f t="shared" si="33"/>
        <v>1288.54</v>
      </c>
      <c r="Y246" s="180">
        <f t="shared" si="33"/>
        <v>1302.8399999999999</v>
      </c>
      <c r="Z246" s="180">
        <f t="shared" si="33"/>
        <v>1332.74</v>
      </c>
      <c r="AA246" s="180">
        <f t="shared" si="33"/>
        <v>1309.6400000000001</v>
      </c>
      <c r="AB246" s="180">
        <f t="shared" si="33"/>
        <v>1415.04</v>
      </c>
      <c r="AC246" s="180">
        <f t="shared" si="33"/>
        <v>1457.54</v>
      </c>
      <c r="AD246" s="180">
        <f t="shared" si="33"/>
        <v>1467.34</v>
      </c>
      <c r="AE246" s="180">
        <f t="shared" si="33"/>
        <v>1458.1399999999999</v>
      </c>
      <c r="AF246" s="180">
        <f t="shared" si="33"/>
        <v>1487.04</v>
      </c>
      <c r="AG246" s="180">
        <f t="shared" si="33"/>
        <v>1528.4399999999998</v>
      </c>
      <c r="AH246" s="180">
        <f t="shared" si="33"/>
        <v>1418.6399999999999</v>
      </c>
      <c r="AI246" s="180">
        <f t="shared" si="33"/>
        <v>1545.54</v>
      </c>
      <c r="AJ246" s="180">
        <f t="shared" si="33"/>
        <v>1631.1399999999999</v>
      </c>
      <c r="AK246" s="180">
        <f t="shared" si="33"/>
        <v>1544.54</v>
      </c>
      <c r="AL246" s="180">
        <f t="shared" si="33"/>
        <v>1553.2399999999998</v>
      </c>
      <c r="AM246" s="180">
        <f t="shared" si="33"/>
        <v>1535.9399999999998</v>
      </c>
      <c r="AN246" s="180">
        <f t="shared" si="33"/>
        <v>1391.2399999999998</v>
      </c>
      <c r="AO246" s="180">
        <f t="shared" si="33"/>
        <v>1378.44</v>
      </c>
      <c r="AP246" s="180">
        <f t="shared" si="33"/>
        <v>1361.1399999999999</v>
      </c>
      <c r="AQ246" s="180">
        <f t="shared" si="33"/>
        <v>1429.8399999999997</v>
      </c>
      <c r="AR246" s="180">
        <f t="shared" si="33"/>
        <v>1727.3399999999997</v>
      </c>
      <c r="AS246" s="180">
        <f t="shared" si="33"/>
        <v>1749.74</v>
      </c>
      <c r="AT246" s="180">
        <f t="shared" si="33"/>
        <v>1716.7399999999998</v>
      </c>
      <c r="AU246" s="180">
        <f t="shared" si="33"/>
        <v>1643.1399999999999</v>
      </c>
      <c r="AV246" s="180">
        <f t="shared" si="33"/>
        <v>1619.54</v>
      </c>
      <c r="AW246" s="180">
        <f t="shared" si="33"/>
        <v>1506.04</v>
      </c>
      <c r="AX246" s="180">
        <f t="shared" si="33"/>
        <v>1278.28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34">C231</f>
        <v>0.64</v>
      </c>
      <c r="C267" s="183">
        <f t="shared" si="34"/>
        <v>0.64</v>
      </c>
      <c r="D267" s="183">
        <f t="shared" si="34"/>
        <v>0.64</v>
      </c>
      <c r="E267" s="183">
        <f t="shared" si="34"/>
        <v>0.64</v>
      </c>
      <c r="F267" s="183">
        <f t="shared" si="34"/>
        <v>0.64</v>
      </c>
      <c r="G267" s="183">
        <f t="shared" si="34"/>
        <v>0.64</v>
      </c>
      <c r="H267" s="183">
        <f t="shared" si="34"/>
        <v>0.64</v>
      </c>
      <c r="I267" s="183">
        <f t="shared" si="34"/>
        <v>0.64</v>
      </c>
      <c r="J267" s="183">
        <f t="shared" si="34"/>
        <v>0.64</v>
      </c>
      <c r="K267" s="183">
        <f t="shared" si="34"/>
        <v>0.64</v>
      </c>
      <c r="L267" s="183">
        <f t="shared" si="34"/>
        <v>0.64</v>
      </c>
      <c r="M267" s="183">
        <f t="shared" si="34"/>
        <v>0.64</v>
      </c>
      <c r="N267" s="183">
        <f t="shared" si="34"/>
        <v>0.64</v>
      </c>
      <c r="O267" s="183">
        <f t="shared" si="34"/>
        <v>0.64</v>
      </c>
      <c r="P267" s="183">
        <f t="shared" si="34"/>
        <v>0</v>
      </c>
      <c r="Q267" s="183">
        <f t="shared" si="34"/>
        <v>0</v>
      </c>
      <c r="R267" s="183">
        <f t="shared" si="34"/>
        <v>0</v>
      </c>
      <c r="S267" s="183">
        <f t="shared" si="34"/>
        <v>0</v>
      </c>
      <c r="T267" s="183">
        <f t="shared" si="34"/>
        <v>0</v>
      </c>
      <c r="U267" s="183">
        <f t="shared" si="34"/>
        <v>0</v>
      </c>
      <c r="V267" s="183">
        <f t="shared" si="34"/>
        <v>0</v>
      </c>
      <c r="W267" s="183">
        <f t="shared" si="34"/>
        <v>0</v>
      </c>
      <c r="X267" s="183">
        <f t="shared" si="34"/>
        <v>0</v>
      </c>
      <c r="Y267" s="183">
        <f t="shared" si="34"/>
        <v>0</v>
      </c>
      <c r="Z267" s="183">
        <f t="shared" si="34"/>
        <v>0</v>
      </c>
      <c r="AA267" s="183">
        <f t="shared" si="34"/>
        <v>0</v>
      </c>
      <c r="AB267" s="183">
        <f t="shared" si="34"/>
        <v>0</v>
      </c>
      <c r="AC267" s="183">
        <f t="shared" si="34"/>
        <v>0</v>
      </c>
      <c r="AD267" s="183">
        <f t="shared" si="34"/>
        <v>0</v>
      </c>
      <c r="AE267" s="183">
        <f t="shared" si="34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35">IF(B235&lt;100,"",B235-520)</f>
        <v/>
      </c>
      <c r="C268" s="184" t="str">
        <f t="shared" si="35"/>
        <v/>
      </c>
      <c r="D268" s="184" t="str">
        <f t="shared" si="35"/>
        <v/>
      </c>
      <c r="E268" s="184" t="str">
        <f t="shared" si="35"/>
        <v/>
      </c>
      <c r="F268" s="184" t="str">
        <f t="shared" si="35"/>
        <v/>
      </c>
      <c r="G268" s="184" t="str">
        <f t="shared" si="35"/>
        <v/>
      </c>
      <c r="H268" s="184" t="str">
        <f t="shared" si="35"/>
        <v/>
      </c>
      <c r="I268" s="184" t="str">
        <f t="shared" si="35"/>
        <v/>
      </c>
      <c r="J268" s="184" t="str">
        <f t="shared" si="35"/>
        <v/>
      </c>
      <c r="K268" s="184" t="str">
        <f t="shared" si="35"/>
        <v/>
      </c>
      <c r="L268" s="184" t="str">
        <f t="shared" si="35"/>
        <v/>
      </c>
      <c r="M268" s="184" t="str">
        <f t="shared" si="35"/>
        <v/>
      </c>
      <c r="N268" s="184" t="str">
        <f t="shared" si="35"/>
        <v/>
      </c>
      <c r="O268" s="184" t="str">
        <f t="shared" si="35"/>
        <v/>
      </c>
      <c r="P268" s="184" t="str">
        <f t="shared" si="35"/>
        <v/>
      </c>
      <c r="Q268" s="184" t="str">
        <f t="shared" si="35"/>
        <v/>
      </c>
      <c r="R268" s="184" t="str">
        <f t="shared" si="35"/>
        <v/>
      </c>
      <c r="S268" s="184" t="str">
        <f t="shared" si="35"/>
        <v/>
      </c>
      <c r="T268" s="184" t="str">
        <f t="shared" si="35"/>
        <v/>
      </c>
      <c r="U268" s="184" t="str">
        <f t="shared" si="35"/>
        <v/>
      </c>
      <c r="V268" s="184" t="str">
        <f t="shared" si="35"/>
        <v/>
      </c>
      <c r="W268" s="184" t="str">
        <f t="shared" si="35"/>
        <v/>
      </c>
      <c r="X268" s="184" t="str">
        <f t="shared" si="35"/>
        <v/>
      </c>
      <c r="Y268" s="184" t="str">
        <f t="shared" si="35"/>
        <v/>
      </c>
      <c r="Z268" s="184" t="str">
        <f t="shared" si="35"/>
        <v/>
      </c>
      <c r="AA268" s="184" t="str">
        <f t="shared" si="35"/>
        <v/>
      </c>
      <c r="AB268" s="184" t="str">
        <f t="shared" si="35"/>
        <v/>
      </c>
      <c r="AC268" s="184" t="str">
        <f t="shared" si="35"/>
        <v/>
      </c>
      <c r="AD268" s="184" t="str">
        <f t="shared" si="35"/>
        <v/>
      </c>
      <c r="AE268" s="184" t="str">
        <f t="shared" si="35"/>
        <v/>
      </c>
      <c r="AF268" s="184" t="str">
        <f t="shared" si="35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36">IF(B236&lt;100,"",B236-620)</f>
        <v/>
      </c>
      <c r="C269" s="184" t="str">
        <f t="shared" si="36"/>
        <v/>
      </c>
      <c r="D269" s="184" t="str">
        <f t="shared" si="36"/>
        <v/>
      </c>
      <c r="E269" s="184" t="str">
        <f t="shared" si="36"/>
        <v/>
      </c>
      <c r="F269" s="184" t="str">
        <f t="shared" si="36"/>
        <v/>
      </c>
      <c r="G269" s="184" t="str">
        <f t="shared" si="36"/>
        <v/>
      </c>
      <c r="H269" s="184" t="str">
        <f t="shared" si="36"/>
        <v/>
      </c>
      <c r="I269" s="184" t="str">
        <f t="shared" si="36"/>
        <v/>
      </c>
      <c r="J269" s="184" t="str">
        <f t="shared" si="36"/>
        <v/>
      </c>
      <c r="K269" s="184" t="str">
        <f t="shared" si="36"/>
        <v/>
      </c>
      <c r="L269" s="184" t="str">
        <f t="shared" si="36"/>
        <v/>
      </c>
      <c r="M269" s="184" t="str">
        <f t="shared" si="36"/>
        <v/>
      </c>
      <c r="N269" s="184" t="str">
        <f t="shared" si="36"/>
        <v/>
      </c>
      <c r="O269" s="184" t="str">
        <f t="shared" si="36"/>
        <v/>
      </c>
      <c r="P269" s="184" t="str">
        <f t="shared" si="36"/>
        <v/>
      </c>
      <c r="Q269" s="184" t="str">
        <f t="shared" si="36"/>
        <v/>
      </c>
      <c r="R269" s="184" t="str">
        <f t="shared" si="36"/>
        <v/>
      </c>
      <c r="S269" s="184" t="str">
        <f t="shared" si="36"/>
        <v/>
      </c>
      <c r="T269" s="184" t="str">
        <f t="shared" si="36"/>
        <v/>
      </c>
      <c r="U269" s="184" t="str">
        <f t="shared" si="36"/>
        <v/>
      </c>
      <c r="V269" s="184" t="str">
        <f t="shared" si="36"/>
        <v/>
      </c>
      <c r="W269" s="184" t="str">
        <f t="shared" si="36"/>
        <v/>
      </c>
      <c r="X269" s="184" t="str">
        <f t="shared" si="36"/>
        <v/>
      </c>
      <c r="Y269" s="184" t="str">
        <f t="shared" si="36"/>
        <v/>
      </c>
      <c r="Z269" s="184" t="str">
        <f t="shared" si="36"/>
        <v/>
      </c>
      <c r="AA269" s="184" t="str">
        <f t="shared" si="36"/>
        <v/>
      </c>
      <c r="AB269" s="184" t="str">
        <f t="shared" si="36"/>
        <v/>
      </c>
      <c r="AC269" s="184" t="str">
        <f t="shared" si="36"/>
        <v/>
      </c>
      <c r="AD269" s="184" t="str">
        <f t="shared" si="36"/>
        <v/>
      </c>
      <c r="AE269" s="184" t="str">
        <f t="shared" si="36"/>
        <v/>
      </c>
      <c r="AF269" s="184" t="str">
        <f t="shared" si="36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37">IF(B237&lt;100,"",B237-330)</f>
        <v/>
      </c>
      <c r="C270" s="184" t="str">
        <f t="shared" si="37"/>
        <v/>
      </c>
      <c r="D270" s="184" t="str">
        <f t="shared" si="37"/>
        <v/>
      </c>
      <c r="E270" s="184" t="str">
        <f t="shared" si="37"/>
        <v/>
      </c>
      <c r="F270" s="184" t="str">
        <f t="shared" si="37"/>
        <v/>
      </c>
      <c r="G270" s="184" t="str">
        <f t="shared" si="37"/>
        <v/>
      </c>
      <c r="H270" s="184" t="str">
        <f t="shared" si="37"/>
        <v/>
      </c>
      <c r="I270" s="184" t="str">
        <f t="shared" si="37"/>
        <v/>
      </c>
      <c r="J270" s="184" t="str">
        <f t="shared" si="37"/>
        <v/>
      </c>
      <c r="K270" s="184" t="str">
        <f t="shared" si="37"/>
        <v/>
      </c>
      <c r="L270" s="184" t="str">
        <f t="shared" si="37"/>
        <v/>
      </c>
      <c r="M270" s="184" t="str">
        <f t="shared" si="37"/>
        <v/>
      </c>
      <c r="N270" s="184" t="str">
        <f t="shared" si="37"/>
        <v/>
      </c>
      <c r="O270" s="184" t="str">
        <f t="shared" si="37"/>
        <v/>
      </c>
      <c r="P270" s="184" t="str">
        <f t="shared" si="37"/>
        <v/>
      </c>
      <c r="Q270" s="184" t="str">
        <f t="shared" si="37"/>
        <v/>
      </c>
      <c r="R270" s="184" t="str">
        <f t="shared" si="37"/>
        <v/>
      </c>
      <c r="S270" s="184" t="str">
        <f t="shared" si="37"/>
        <v/>
      </c>
      <c r="T270" s="184" t="str">
        <f t="shared" si="37"/>
        <v/>
      </c>
      <c r="U270" s="184" t="str">
        <f t="shared" si="37"/>
        <v/>
      </c>
      <c r="V270" s="184" t="str">
        <f t="shared" si="37"/>
        <v/>
      </c>
      <c r="W270" s="184" t="str">
        <f t="shared" si="37"/>
        <v/>
      </c>
      <c r="X270" s="184" t="str">
        <f t="shared" si="37"/>
        <v/>
      </c>
      <c r="Y270" s="184" t="str">
        <f t="shared" si="37"/>
        <v/>
      </c>
      <c r="Z270" s="184" t="str">
        <f t="shared" si="37"/>
        <v/>
      </c>
      <c r="AA270" s="184" t="str">
        <f t="shared" si="37"/>
        <v/>
      </c>
      <c r="AB270" s="184" t="str">
        <f t="shared" si="37"/>
        <v/>
      </c>
      <c r="AC270" s="184" t="str">
        <f t="shared" si="37"/>
        <v/>
      </c>
      <c r="AD270" s="184" t="str">
        <f t="shared" si="37"/>
        <v/>
      </c>
      <c r="AE270" s="184" t="str">
        <f t="shared" si="37"/>
        <v/>
      </c>
      <c r="AF270" s="184" t="str">
        <f t="shared" si="37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38">IF(B238&lt;100,"",B238-1500)</f>
        <v/>
      </c>
      <c r="C271" s="184" t="str">
        <f t="shared" si="38"/>
        <v/>
      </c>
      <c r="D271" s="184" t="str">
        <f t="shared" si="38"/>
        <v/>
      </c>
      <c r="E271" s="184" t="str">
        <f t="shared" si="38"/>
        <v/>
      </c>
      <c r="F271" s="184" t="str">
        <f t="shared" si="38"/>
        <v/>
      </c>
      <c r="G271" s="184" t="str">
        <f t="shared" si="38"/>
        <v/>
      </c>
      <c r="H271" s="184" t="str">
        <f t="shared" si="38"/>
        <v/>
      </c>
      <c r="I271" s="184" t="str">
        <f t="shared" si="38"/>
        <v/>
      </c>
      <c r="J271" s="184" t="str">
        <f t="shared" si="38"/>
        <v/>
      </c>
      <c r="K271" s="184" t="str">
        <f t="shared" si="38"/>
        <v/>
      </c>
      <c r="L271" s="184" t="str">
        <f t="shared" si="38"/>
        <v/>
      </c>
      <c r="M271" s="184" t="str">
        <f t="shared" si="38"/>
        <v/>
      </c>
      <c r="N271" s="184" t="str">
        <f t="shared" si="38"/>
        <v/>
      </c>
      <c r="O271" s="184" t="str">
        <f t="shared" si="38"/>
        <v/>
      </c>
      <c r="P271" s="184" t="str">
        <f t="shared" si="38"/>
        <v/>
      </c>
      <c r="Q271" s="184" t="str">
        <f t="shared" si="38"/>
        <v/>
      </c>
      <c r="R271" s="184" t="str">
        <f t="shared" si="38"/>
        <v/>
      </c>
      <c r="S271" s="184" t="str">
        <f t="shared" si="38"/>
        <v/>
      </c>
      <c r="T271" s="184" t="str">
        <f t="shared" si="38"/>
        <v/>
      </c>
      <c r="U271" s="184" t="str">
        <f t="shared" si="38"/>
        <v/>
      </c>
      <c r="V271" s="184" t="str">
        <f t="shared" si="38"/>
        <v/>
      </c>
      <c r="W271" s="184" t="str">
        <f t="shared" si="38"/>
        <v/>
      </c>
      <c r="X271" s="184" t="str">
        <f t="shared" si="38"/>
        <v/>
      </c>
      <c r="Y271" s="184" t="str">
        <f t="shared" si="38"/>
        <v/>
      </c>
      <c r="Z271" s="184" t="str">
        <f t="shared" si="38"/>
        <v/>
      </c>
      <c r="AA271" s="184" t="str">
        <f t="shared" si="38"/>
        <v/>
      </c>
      <c r="AB271" s="184" t="str">
        <f t="shared" si="38"/>
        <v/>
      </c>
      <c r="AC271" s="184" t="str">
        <f t="shared" si="38"/>
        <v/>
      </c>
      <c r="AD271" s="184" t="str">
        <f t="shared" si="38"/>
        <v/>
      </c>
      <c r="AE271" s="184" t="str">
        <f t="shared" si="38"/>
        <v/>
      </c>
      <c r="AF271" s="184" t="str">
        <f t="shared" si="38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59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97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5571" priority="593">
      <formula>B$9&gt;=20/24</formula>
    </cfRule>
    <cfRule type="expression" dxfId="5570" priority="594">
      <formula>AND(B$9&gt;=14/24,B$9&lt;20/24)</formula>
    </cfRule>
    <cfRule type="expression" dxfId="5569" priority="595">
      <formula>AND(B$9&gt;=8/24,B$9&lt;14/24)</formula>
    </cfRule>
    <cfRule type="expression" dxfId="5568" priority="596">
      <formula>B$9&lt;8/24</formula>
    </cfRule>
  </conditionalFormatting>
  <conditionalFormatting sqref="AL4:AL6">
    <cfRule type="iconSet" priority="592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5567" priority="591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5566" priority="590">
      <formula>$AH12=0</formula>
    </cfRule>
  </conditionalFormatting>
  <conditionalFormatting sqref="A114">
    <cfRule type="expression" dxfId="5565" priority="589">
      <formula>$AH114=0</formula>
    </cfRule>
  </conditionalFormatting>
  <conditionalFormatting sqref="AL42">
    <cfRule type="iconSet" priority="588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5564" priority="587">
      <formula>$AH45=0</formula>
    </cfRule>
  </conditionalFormatting>
  <conditionalFormatting sqref="A98">
    <cfRule type="expression" dxfId="5563" priority="586">
      <formula>$AH98=0</formula>
    </cfRule>
  </conditionalFormatting>
  <conditionalFormatting sqref="A18">
    <cfRule type="expression" dxfId="5562" priority="585">
      <formula>$AH18=0</formula>
    </cfRule>
  </conditionalFormatting>
  <conditionalFormatting sqref="A196:A201">
    <cfRule type="expression" dxfId="5561" priority="584">
      <formula>$AH196=0</formula>
    </cfRule>
  </conditionalFormatting>
  <conditionalFormatting sqref="A190:A195">
    <cfRule type="expression" dxfId="5560" priority="583">
      <formula>$AH190=0</formula>
    </cfRule>
  </conditionalFormatting>
  <conditionalFormatting sqref="A58">
    <cfRule type="expression" dxfId="5559" priority="582">
      <formula>$AH58=0</formula>
    </cfRule>
  </conditionalFormatting>
  <conditionalFormatting sqref="A94">
    <cfRule type="expression" dxfId="5558" priority="581">
      <formula>$AH94=0</formula>
    </cfRule>
  </conditionalFormatting>
  <conditionalFormatting sqref="AD99:AF99 E99:Y99">
    <cfRule type="expression" dxfId="5557" priority="577">
      <formula>E$9&gt;=20/24</formula>
    </cfRule>
    <cfRule type="expression" dxfId="5556" priority="578">
      <formula>AND(E$9&gt;=14/24,E$9&lt;20/24)</formula>
    </cfRule>
    <cfRule type="expression" dxfId="5555" priority="579">
      <formula>AND(E$9&gt;=8/24,E$9&lt;14/24)</formula>
    </cfRule>
    <cfRule type="expression" dxfId="5554" priority="580">
      <formula>E$9&lt;8/24</formula>
    </cfRule>
  </conditionalFormatting>
  <conditionalFormatting sqref="AL43">
    <cfRule type="iconSet" priority="57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553" priority="599">
      <formula>C$9&gt;=20/24</formula>
    </cfRule>
    <cfRule type="expression" dxfId="5552" priority="600">
      <formula>AND(C$9&gt;=14/24,C$9&lt;20/24)</formula>
    </cfRule>
    <cfRule type="expression" dxfId="5551" priority="601">
      <formula>AND(C$9&gt;=8/24,C$9&lt;14/24)</formula>
    </cfRule>
    <cfRule type="expression" dxfId="5550" priority="602">
      <formula>C$9&lt;8/24</formula>
    </cfRule>
  </conditionalFormatting>
  <conditionalFormatting sqref="A233">
    <cfRule type="expression" dxfId="5549" priority="603">
      <formula>$AH233=0</formula>
    </cfRule>
  </conditionalFormatting>
  <conditionalFormatting sqref="AG245">
    <cfRule type="expression" dxfId="5548" priority="604">
      <formula>B$9&gt;=20/24</formula>
    </cfRule>
    <cfRule type="expression" dxfId="5547" priority="605">
      <formula>AND(B$9&gt;=14/24,B$9&lt;20/24)</formula>
    </cfRule>
    <cfRule type="expression" dxfId="5546" priority="606">
      <formula>AND(B$9&gt;=8/24,B$9&lt;14/24)</formula>
    </cfRule>
    <cfRule type="expression" dxfId="5545" priority="607">
      <formula>B$9&lt;8/24</formula>
    </cfRule>
  </conditionalFormatting>
  <conditionalFormatting sqref="S8">
    <cfRule type="expression" dxfId="5544" priority="572">
      <formula>U$9&gt;=20/24</formula>
    </cfRule>
    <cfRule type="expression" dxfId="5543" priority="573">
      <formula>AND(U$9&gt;=14/24,U$9&lt;20/24)</formula>
    </cfRule>
    <cfRule type="expression" dxfId="5542" priority="574">
      <formula>AND(U$9&gt;=8/24,U$9&lt;14/24)</formula>
    </cfRule>
    <cfRule type="expression" dxfId="5541" priority="575">
      <formula>U$9&lt;8/24</formula>
    </cfRule>
  </conditionalFormatting>
  <conditionalFormatting sqref="AB8">
    <cfRule type="expression" dxfId="5540" priority="568">
      <formula>AD$9&gt;=20/24</formula>
    </cfRule>
    <cfRule type="expression" dxfId="5539" priority="569">
      <formula>AND(AD$9&gt;=14/24,AD$9&lt;20/24)</formula>
    </cfRule>
    <cfRule type="expression" dxfId="5538" priority="570">
      <formula>AND(AD$9&gt;=8/24,AD$9&lt;14/24)</formula>
    </cfRule>
    <cfRule type="expression" dxfId="5537" priority="571">
      <formula>AD$9&lt;8/24</formula>
    </cfRule>
  </conditionalFormatting>
  <conditionalFormatting sqref="AH245:AX245">
    <cfRule type="expression" dxfId="5536" priority="608">
      <formula>AG$9&gt;=20/24</formula>
    </cfRule>
    <cfRule type="expression" dxfId="5535" priority="609">
      <formula>AND(AG$9&gt;=14/24,AG$9&lt;20/24)</formula>
    </cfRule>
    <cfRule type="expression" dxfId="5534" priority="610">
      <formula>AND(AG$9&gt;=8/24,AG$9&lt;14/24)</formula>
    </cfRule>
    <cfRule type="expression" dxfId="5533" priority="611">
      <formula>AG$9&lt;8/24</formula>
    </cfRule>
  </conditionalFormatting>
  <conditionalFormatting sqref="T245">
    <cfRule type="expression" dxfId="5532" priority="612">
      <formula>AX$9&gt;=20/24</formula>
    </cfRule>
    <cfRule type="expression" dxfId="5531" priority="613">
      <formula>AND(AX$9&gt;=14/24,AX$9&lt;20/24)</formula>
    </cfRule>
    <cfRule type="expression" dxfId="5530" priority="614">
      <formula>AND(AX$9&gt;=8/24,AX$9&lt;14/24)</formula>
    </cfRule>
    <cfRule type="expression" dxfId="5529" priority="615">
      <formula>AX$9&lt;8/24</formula>
    </cfRule>
  </conditionalFormatting>
  <conditionalFormatting sqref="A115:A116">
    <cfRule type="expression" dxfId="5528" priority="567">
      <formula>$AH115=0</formula>
    </cfRule>
  </conditionalFormatting>
  <conditionalFormatting sqref="P54:U58 V56:Y58 F71:AF71 AB54:AF57">
    <cfRule type="expression" dxfId="5527" priority="563">
      <formula>F$9&gt;=20/24</formula>
    </cfRule>
    <cfRule type="expression" dxfId="5526" priority="564">
      <formula>AND(F$9&gt;=14/24,F$9&lt;20/24)</formula>
    </cfRule>
    <cfRule type="expression" dxfId="5525" priority="565">
      <formula>AND(F$9&gt;=8/24,F$9&lt;14/24)</formula>
    </cfRule>
    <cfRule type="expression" dxfId="5524" priority="566">
      <formula>F$9&lt;8/24</formula>
    </cfRule>
  </conditionalFormatting>
  <conditionalFormatting sqref="AB53:AF53 P53:U53">
    <cfRule type="expression" dxfId="5523" priority="559">
      <formula>P$9&gt;=20/24</formula>
    </cfRule>
    <cfRule type="expression" dxfId="5522" priority="560">
      <formula>AND(P$9&gt;=14/24,P$9&lt;20/24)</formula>
    </cfRule>
    <cfRule type="expression" dxfId="5521" priority="561">
      <formula>AND(P$9&gt;=8/24,P$9&lt;14/24)</formula>
    </cfRule>
    <cfRule type="expression" dxfId="5520" priority="562">
      <formula>P$9&lt;8/24</formula>
    </cfRule>
  </conditionalFormatting>
  <conditionalFormatting sqref="P53:U58 V56:Y58 AB53:AF57">
    <cfRule type="expression" dxfId="5519" priority="558">
      <formula>P53&gt;$AG53</formula>
    </cfRule>
  </conditionalFormatting>
  <conditionalFormatting sqref="D86:AF86 X96:AF96 Z72:AF74 X47:AF47 F72:Y73 O100:Y106 Y67:AF69">
    <cfRule type="expression" dxfId="5518" priority="554">
      <formula>D$9&gt;=20/24</formula>
    </cfRule>
    <cfRule type="expression" dxfId="5517" priority="555">
      <formula>AND(D$9&gt;=14/24,D$9&lt;20/24)</formula>
    </cfRule>
    <cfRule type="expression" dxfId="5516" priority="556">
      <formula>AND(D$9&gt;=8/24,D$9&lt;14/24)</formula>
    </cfRule>
    <cfRule type="expression" dxfId="5515" priority="557">
      <formula>D$9&lt;8/24</formula>
    </cfRule>
  </conditionalFormatting>
  <conditionalFormatting sqref="X47:AF47 Y67:AF69">
    <cfRule type="expression" dxfId="5514" priority="553">
      <formula>X47&gt;$AG47</formula>
    </cfRule>
  </conditionalFormatting>
  <conditionalFormatting sqref="Z53:AA58 V53:Y55">
    <cfRule type="expression" dxfId="5513" priority="549">
      <formula>V$9&gt;=20/24</formula>
    </cfRule>
    <cfRule type="expression" dxfId="5512" priority="550">
      <formula>AND(V$9&gt;=14/24,V$9&lt;20/24)</formula>
    </cfRule>
    <cfRule type="expression" dxfId="5511" priority="551">
      <formula>AND(V$9&gt;=8/24,V$9&lt;14/24)</formula>
    </cfRule>
    <cfRule type="expression" dxfId="5510" priority="552">
      <formula>V$9&lt;8/24</formula>
    </cfRule>
  </conditionalFormatting>
  <conditionalFormatting sqref="Z53:AA58 V53:Y55">
    <cfRule type="expression" dxfId="5509" priority="548">
      <formula>V53&gt;$AG53</formula>
    </cfRule>
  </conditionalFormatting>
  <conditionalFormatting sqref="C97:AF97 D88:AF88">
    <cfRule type="expression" dxfId="5508" priority="544">
      <formula>C$9&gt;=20/24</formula>
    </cfRule>
    <cfRule type="expression" dxfId="5507" priority="545">
      <formula>AND(C$9&gt;=14/24,C$9&lt;20/24)</formula>
    </cfRule>
    <cfRule type="expression" dxfId="5506" priority="546">
      <formula>AND(C$9&gt;=8/24,C$9&lt;14/24)</formula>
    </cfRule>
    <cfRule type="expression" dxfId="5505" priority="547">
      <formula>C$9&lt;8/24</formula>
    </cfRule>
  </conditionalFormatting>
  <conditionalFormatting sqref="T47:W47">
    <cfRule type="expression" dxfId="5504" priority="540">
      <formula>T$9&gt;=20/24</formula>
    </cfRule>
    <cfRule type="expression" dxfId="5503" priority="541">
      <formula>AND(T$9&gt;=14/24,T$9&lt;20/24)</formula>
    </cfRule>
    <cfRule type="expression" dxfId="5502" priority="542">
      <formula>AND(T$9&gt;=8/24,T$9&lt;14/24)</formula>
    </cfRule>
    <cfRule type="expression" dxfId="5501" priority="543">
      <formula>T$9&lt;8/24</formula>
    </cfRule>
  </conditionalFormatting>
  <conditionalFormatting sqref="T47:W47">
    <cfRule type="expression" dxfId="5500" priority="539">
      <formula>T47&gt;$AG47</formula>
    </cfRule>
  </conditionalFormatting>
  <conditionalFormatting sqref="F54:O55">
    <cfRule type="expression" dxfId="5499" priority="535">
      <formula>F$9&gt;=20/24</formula>
    </cfRule>
    <cfRule type="expression" dxfId="5498" priority="536">
      <formula>AND(F$9&gt;=14/24,F$9&lt;20/24)</formula>
    </cfRule>
    <cfRule type="expression" dxfId="5497" priority="537">
      <formula>AND(F$9&gt;=8/24,F$9&lt;14/24)</formula>
    </cfRule>
    <cfRule type="expression" dxfId="5496" priority="538">
      <formula>F$9&lt;8/24</formula>
    </cfRule>
  </conditionalFormatting>
  <conditionalFormatting sqref="F53:O53">
    <cfRule type="expression" dxfId="5495" priority="531">
      <formula>F$9&gt;=20/24</formula>
    </cfRule>
    <cfRule type="expression" dxfId="5494" priority="532">
      <formula>AND(F$9&gt;=14/24,F$9&lt;20/24)</formula>
    </cfRule>
    <cfRule type="expression" dxfId="5493" priority="533">
      <formula>AND(F$9&gt;=8/24,F$9&lt;14/24)</formula>
    </cfRule>
    <cfRule type="expression" dxfId="5492" priority="534">
      <formula>F$9&lt;8/24</formula>
    </cfRule>
  </conditionalFormatting>
  <conditionalFormatting sqref="F53:O55">
    <cfRule type="expression" dxfId="5491" priority="530">
      <formula>F53&gt;$AG53</formula>
    </cfRule>
  </conditionalFormatting>
  <conditionalFormatting sqref="AG70 AG87 E100:N106 W67:X69">
    <cfRule type="expression" dxfId="5490" priority="526">
      <formula>E$9&gt;=20/24</formula>
    </cfRule>
    <cfRule type="expression" dxfId="5489" priority="527">
      <formula>AND(E$9&gt;=14/24,E$9&lt;20/24)</formula>
    </cfRule>
    <cfRule type="expression" dxfId="5488" priority="528">
      <formula>AND(E$9&gt;=8/24,E$9&lt;14/24)</formula>
    </cfRule>
    <cfRule type="expression" dxfId="5487" priority="529">
      <formula>E$9&lt;8/24</formula>
    </cfRule>
  </conditionalFormatting>
  <conditionalFormatting sqref="AG48 AG66 AG70 W67:X69">
    <cfRule type="expression" dxfId="5486" priority="525">
      <formula>W48&gt;$AG48</formula>
    </cfRule>
  </conditionalFormatting>
  <conditionalFormatting sqref="AB58:AF58">
    <cfRule type="expression" dxfId="5485" priority="521">
      <formula>AB$9&gt;=20/24</formula>
    </cfRule>
    <cfRule type="expression" dxfId="5484" priority="522">
      <formula>AND(AB$9&gt;=14/24,AB$9&lt;20/24)</formula>
    </cfRule>
    <cfRule type="expression" dxfId="5483" priority="523">
      <formula>AND(AB$9&gt;=8/24,AB$9&lt;14/24)</formula>
    </cfRule>
    <cfRule type="expression" dxfId="5482" priority="524">
      <formula>AB$9&lt;8/24</formula>
    </cfRule>
  </conditionalFormatting>
  <conditionalFormatting sqref="AB58:AF58">
    <cfRule type="expression" dxfId="5481" priority="520">
      <formula>AB58&gt;$AG58</formula>
    </cfRule>
  </conditionalFormatting>
  <conditionalFormatting sqref="A43">
    <cfRule type="expression" dxfId="5480" priority="519">
      <formula>$AH43=0</formula>
    </cfRule>
  </conditionalFormatting>
  <conditionalFormatting sqref="X91:AF95">
    <cfRule type="expression" dxfId="5479" priority="515">
      <formula>X$9&gt;=20/24</formula>
    </cfRule>
    <cfRule type="expression" dxfId="5478" priority="516">
      <formula>AND(X$9&gt;=14/24,X$9&lt;20/24)</formula>
    </cfRule>
    <cfRule type="expression" dxfId="5477" priority="517">
      <formula>AND(X$9&gt;=8/24,X$9&lt;14/24)</formula>
    </cfRule>
    <cfRule type="expression" dxfId="5476" priority="518">
      <formula>X$9&lt;8/24</formula>
    </cfRule>
  </conditionalFormatting>
  <conditionalFormatting sqref="AL45 AL41 AL22:AL32 AL38:AL39 AL7:AL15 AL17:AL20 AL34:AL36">
    <cfRule type="iconSet" priority="616">
      <iconSet iconSet="3TrafficLights2" reverse="1">
        <cfvo type="percent" val="0"/>
        <cfvo type="num" val="1"/>
        <cfvo type="num" val="1"/>
      </iconSet>
    </cfRule>
  </conditionalFormatting>
  <conditionalFormatting sqref="F49:AF51">
    <cfRule type="expression" dxfId="5475" priority="511">
      <formula>F$9&gt;=20/24</formula>
    </cfRule>
    <cfRule type="expression" dxfId="5474" priority="512">
      <formula>AND(F$9&gt;=14/24,F$9&lt;20/24)</formula>
    </cfRule>
    <cfRule type="expression" dxfId="5473" priority="513">
      <formula>AND(F$9&gt;=8/24,F$9&lt;14/24)</formula>
    </cfRule>
    <cfRule type="expression" dxfId="5472" priority="514">
      <formula>F$9&lt;8/24</formula>
    </cfRule>
  </conditionalFormatting>
  <conditionalFormatting sqref="F49:AF51">
    <cfRule type="expression" dxfId="5471" priority="510">
      <formula>F49&gt;$AG49</formula>
    </cfRule>
  </conditionalFormatting>
  <conditionalFormatting sqref="AG52">
    <cfRule type="expression" dxfId="5470" priority="506">
      <formula>AG$9&gt;=20/24</formula>
    </cfRule>
    <cfRule type="expression" dxfId="5469" priority="507">
      <formula>AND(AG$9&gt;=14/24,AG$9&lt;20/24)</formula>
    </cfRule>
    <cfRule type="expression" dxfId="5468" priority="508">
      <formula>AND(AG$9&gt;=8/24,AG$9&lt;14/24)</formula>
    </cfRule>
    <cfRule type="expression" dxfId="5467" priority="509">
      <formula>AG$9&lt;8/24</formula>
    </cfRule>
  </conditionalFormatting>
  <conditionalFormatting sqref="AG52">
    <cfRule type="expression" dxfId="5466" priority="505">
      <formula>AG52&gt;$AG52</formula>
    </cfRule>
  </conditionalFormatting>
  <conditionalFormatting sqref="C107:AF107">
    <cfRule type="expression" dxfId="5465" priority="501">
      <formula>C$9&gt;=20/24</formula>
    </cfRule>
    <cfRule type="expression" dxfId="5464" priority="502">
      <formula>AND(C$9&gt;=14/24,C$9&lt;20/24)</formula>
    </cfRule>
    <cfRule type="expression" dxfId="5463" priority="503">
      <formula>AND(C$9&gt;=8/24,C$9&lt;14/24)</formula>
    </cfRule>
    <cfRule type="expression" dxfId="5462" priority="504">
      <formula>C$9&lt;8/24</formula>
    </cfRule>
  </conditionalFormatting>
  <conditionalFormatting sqref="AL40">
    <cfRule type="iconSet" priority="500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5461" priority="499">
      <formula>$AH40=0</formula>
    </cfRule>
  </conditionalFormatting>
  <conditionalFormatting sqref="A90">
    <cfRule type="expression" dxfId="5460" priority="497">
      <formula>$AH90=0</formula>
    </cfRule>
  </conditionalFormatting>
  <conditionalFormatting sqref="A87">
    <cfRule type="expression" dxfId="5459" priority="498">
      <formula>$AH87=0</formula>
    </cfRule>
  </conditionalFormatting>
  <conditionalFormatting sqref="D110:AF110">
    <cfRule type="expression" dxfId="5458" priority="493">
      <formula>D$9&gt;=20/24</formula>
    </cfRule>
    <cfRule type="expression" dxfId="5457" priority="494">
      <formula>AND(D$9&gt;=14/24,D$9&lt;20/24)</formula>
    </cfRule>
    <cfRule type="expression" dxfId="5456" priority="495">
      <formula>AND(D$9&gt;=8/24,D$9&lt;14/24)</formula>
    </cfRule>
    <cfRule type="expression" dxfId="5455" priority="496">
      <formula>D$9&lt;8/24</formula>
    </cfRule>
  </conditionalFormatting>
  <conditionalFormatting sqref="A110">
    <cfRule type="expression" dxfId="5454" priority="492">
      <formula>$AH110=0</formula>
    </cfRule>
  </conditionalFormatting>
  <conditionalFormatting sqref="A21">
    <cfRule type="expression" dxfId="5453" priority="490">
      <formula>$AH21=0</formula>
    </cfRule>
  </conditionalFormatting>
  <conditionalFormatting sqref="AL21">
    <cfRule type="iconSet" priority="49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452" priority="488">
      <formula>$AH37=0</formula>
    </cfRule>
  </conditionalFormatting>
  <conditionalFormatting sqref="AL37">
    <cfRule type="iconSet" priority="489">
      <iconSet iconSet="3TrafficLights2" reverse="1">
        <cfvo type="percent" val="0"/>
        <cfvo type="num" val="1"/>
        <cfvo type="num" val="1"/>
      </iconSet>
    </cfRule>
  </conditionalFormatting>
  <conditionalFormatting sqref="Z99:AC99">
    <cfRule type="expression" dxfId="5451" priority="484">
      <formula>Z$9&gt;=20/24</formula>
    </cfRule>
    <cfRule type="expression" dxfId="5450" priority="485">
      <formula>AND(Z$9&gt;=14/24,Z$9&lt;20/24)</formula>
    </cfRule>
    <cfRule type="expression" dxfId="5449" priority="486">
      <formula>AND(Z$9&gt;=8/24,Z$9&lt;14/24)</formula>
    </cfRule>
    <cfRule type="expression" dxfId="5448" priority="487">
      <formula>Z$9&lt;8/24</formula>
    </cfRule>
  </conditionalFormatting>
  <conditionalFormatting sqref="Z100:AF106">
    <cfRule type="expression" dxfId="5447" priority="480">
      <formula>Z$9&gt;=20/24</formula>
    </cfRule>
    <cfRule type="expression" dxfId="5446" priority="481">
      <formula>AND(Z$9&gt;=14/24,Z$9&lt;20/24)</formula>
    </cfRule>
    <cfRule type="expression" dxfId="5445" priority="482">
      <formula>AND(Z$9&gt;=8/24,Z$9&lt;14/24)</formula>
    </cfRule>
    <cfRule type="expression" dxfId="5444" priority="483">
      <formula>Z$9&lt;8/24</formula>
    </cfRule>
  </conditionalFormatting>
  <conditionalFormatting sqref="C109 C111:C116 Z34:AF43 Z17:AF32">
    <cfRule type="expression" dxfId="5443" priority="476">
      <formula>C$9&gt;=20/24</formula>
    </cfRule>
    <cfRule type="expression" dxfId="5442" priority="477">
      <formula>AND(C$9&gt;=14/24,C$9&lt;20/24)</formula>
    </cfRule>
    <cfRule type="expression" dxfId="5441" priority="478">
      <formula>AND(C$9&gt;=8/24,C$9&lt;14/24)</formula>
    </cfRule>
    <cfRule type="expression" dxfId="5440" priority="479">
      <formula>C$9&lt;8/24</formula>
    </cfRule>
  </conditionalFormatting>
  <conditionalFormatting sqref="E47:S47">
    <cfRule type="expression" dxfId="5439" priority="472">
      <formula>E$9&gt;=20/24</formula>
    </cfRule>
    <cfRule type="expression" dxfId="5438" priority="473">
      <formula>AND(E$9&gt;=14/24,E$9&lt;20/24)</formula>
    </cfRule>
    <cfRule type="expression" dxfId="5437" priority="474">
      <formula>AND(E$9&gt;=8/24,E$9&lt;14/24)</formula>
    </cfRule>
    <cfRule type="expression" dxfId="5436" priority="475">
      <formula>E$9&lt;8/24</formula>
    </cfRule>
  </conditionalFormatting>
  <conditionalFormatting sqref="E47:S47 Z34:AF43 Z17:AF32">
    <cfRule type="expression" dxfId="5435" priority="471">
      <formula>E17&gt;$AG17</formula>
    </cfRule>
  </conditionalFormatting>
  <conditionalFormatting sqref="C99:D99">
    <cfRule type="expression" dxfId="5434" priority="467">
      <formula>C$9&gt;=20/24</formula>
    </cfRule>
    <cfRule type="expression" dxfId="5433" priority="468">
      <formula>AND(C$9&gt;=14/24,C$9&lt;20/24)</formula>
    </cfRule>
    <cfRule type="expression" dxfId="5432" priority="469">
      <formula>AND(C$9&gt;=8/24,C$9&lt;14/24)</formula>
    </cfRule>
    <cfRule type="expression" dxfId="5431" priority="470">
      <formula>C$9&lt;8/24</formula>
    </cfRule>
  </conditionalFormatting>
  <conditionalFormatting sqref="C86 C96:W96 D100:D106 I67:V69 C83:AF85 F74:Y76 Z75:AF76">
    <cfRule type="expression" dxfId="5430" priority="463">
      <formula>C$9&gt;=20/24</formula>
    </cfRule>
    <cfRule type="expression" dxfId="5429" priority="464">
      <formula>AND(C$9&gt;=14/24,C$9&lt;20/24)</formula>
    </cfRule>
    <cfRule type="expression" dxfId="5428" priority="465">
      <formula>AND(C$9&gt;=8/24,C$9&lt;14/24)</formula>
    </cfRule>
    <cfRule type="expression" dxfId="5427" priority="466">
      <formula>C$9&lt;8/24</formula>
    </cfRule>
  </conditionalFormatting>
  <conditionalFormatting sqref="F56:O57 I67:V69">
    <cfRule type="expression" dxfId="5426" priority="462">
      <formula>F56&gt;$AG56</formula>
    </cfRule>
  </conditionalFormatting>
  <conditionalFormatting sqref="F58:O58">
    <cfRule type="expression" dxfId="5425" priority="458">
      <formula>F$9&gt;=20/24</formula>
    </cfRule>
    <cfRule type="expression" dxfId="5424" priority="459">
      <formula>AND(F$9&gt;=14/24,F$9&lt;20/24)</formula>
    </cfRule>
    <cfRule type="expression" dxfId="5423" priority="460">
      <formula>AND(F$9&gt;=8/24,F$9&lt;14/24)</formula>
    </cfRule>
    <cfRule type="expression" dxfId="5422" priority="461">
      <formula>F$9&lt;8/24</formula>
    </cfRule>
  </conditionalFormatting>
  <conditionalFormatting sqref="F58:O58">
    <cfRule type="expression" dxfId="5421" priority="457">
      <formula>F58&gt;$AG58</formula>
    </cfRule>
  </conditionalFormatting>
  <conditionalFormatting sqref="C54:E57 C71:E71">
    <cfRule type="expression" dxfId="5420" priority="386">
      <formula>C$9&gt;=20/24</formula>
    </cfRule>
    <cfRule type="expression" dxfId="5419" priority="387">
      <formula>AND(C$9&gt;=14/24,C$9&lt;20/24)</formula>
    </cfRule>
    <cfRule type="expression" dxfId="5418" priority="388">
      <formula>AND(C$9&gt;=8/24,C$9&lt;14/24)</formula>
    </cfRule>
    <cfRule type="expression" dxfId="5417" priority="389">
      <formula>C$9&lt;8/24</formula>
    </cfRule>
  </conditionalFormatting>
  <conditionalFormatting sqref="C98:AF98 L70:AF70 C87:AF87 C89:AF89">
    <cfRule type="expression" dxfId="5416" priority="453">
      <formula>C$9&gt;=20/24</formula>
    </cfRule>
    <cfRule type="expression" dxfId="5415" priority="454">
      <formula>AND(C$9&gt;=14/24,C$9&lt;20/24)</formula>
    </cfRule>
    <cfRule type="expression" dxfId="5414" priority="455">
      <formula>AND(C$9&gt;=8/24,C$9&lt;14/24)</formula>
    </cfRule>
    <cfRule type="expression" dxfId="5413" priority="456">
      <formula>C$9&lt;8/24</formula>
    </cfRule>
  </conditionalFormatting>
  <conditionalFormatting sqref="C65:AF66 L70:AF70">
    <cfRule type="expression" dxfId="5412" priority="452">
      <formula>C65&gt;$AG65</formula>
    </cfRule>
  </conditionalFormatting>
  <conditionalFormatting sqref="C82:AF82">
    <cfRule type="expression" dxfId="5411" priority="448">
      <formula>C$9&gt;=20/24</formula>
    </cfRule>
    <cfRule type="expression" dxfId="5410" priority="449">
      <formula>AND(C$9&gt;=14/24,C$9&lt;20/24)</formula>
    </cfRule>
    <cfRule type="expression" dxfId="5409" priority="450">
      <formula>AND(C$9&gt;=8/24,C$9&lt;14/24)</formula>
    </cfRule>
    <cfRule type="expression" dxfId="5408" priority="451">
      <formula>C$9&lt;8/24</formula>
    </cfRule>
  </conditionalFormatting>
  <conditionalFormatting sqref="C91:W95">
    <cfRule type="expression" dxfId="5407" priority="444">
      <formula>C$9&gt;=20/24</formula>
    </cfRule>
    <cfRule type="expression" dxfId="5406" priority="445">
      <formula>AND(C$9&gt;=14/24,C$9&lt;20/24)</formula>
    </cfRule>
    <cfRule type="expression" dxfId="5405" priority="446">
      <formula>AND(C$9&gt;=8/24,C$9&lt;14/24)</formula>
    </cfRule>
    <cfRule type="expression" dxfId="5404" priority="447">
      <formula>C$9&lt;8/24</formula>
    </cfRule>
  </conditionalFormatting>
  <conditionalFormatting sqref="C52:AF52">
    <cfRule type="expression" dxfId="5403" priority="440">
      <formula>C$9&gt;=20/24</formula>
    </cfRule>
    <cfRule type="expression" dxfId="5402" priority="441">
      <formula>AND(C$9&gt;=14/24,C$9&lt;20/24)</formula>
    </cfRule>
    <cfRule type="expression" dxfId="5401" priority="442">
      <formula>AND(C$9&gt;=8/24,C$9&lt;14/24)</formula>
    </cfRule>
    <cfRule type="expression" dxfId="5400" priority="443">
      <formula>C$9&lt;8/24</formula>
    </cfRule>
  </conditionalFormatting>
  <conditionalFormatting sqref="C52:AF52">
    <cfRule type="expression" dxfId="5399" priority="439">
      <formula>C52&gt;$AG52</formula>
    </cfRule>
  </conditionalFormatting>
  <conditionalFormatting sqref="C110">
    <cfRule type="expression" dxfId="5398" priority="431">
      <formula>C$9&gt;=20/24</formula>
    </cfRule>
    <cfRule type="expression" dxfId="5397" priority="432">
      <formula>AND(C$9&gt;=14/24,C$9&lt;20/24)</formula>
    </cfRule>
    <cfRule type="expression" dxfId="5396" priority="433">
      <formula>AND(C$9&gt;=8/24,C$9&lt;14/24)</formula>
    </cfRule>
    <cfRule type="expression" dxfId="5395" priority="434">
      <formula>C$9&lt;8/24</formula>
    </cfRule>
  </conditionalFormatting>
  <conditionalFormatting sqref="Z59:AF64">
    <cfRule type="expression" dxfId="5394" priority="427">
      <formula>Z$9&gt;=20/24</formula>
    </cfRule>
    <cfRule type="expression" dxfId="5393" priority="428">
      <formula>AND(Z$9&gt;=14/24,Z$9&lt;20/24)</formula>
    </cfRule>
    <cfRule type="expression" dxfId="5392" priority="429">
      <formula>AND(Z$9&gt;=8/24,Z$9&lt;14/24)</formula>
    </cfRule>
    <cfRule type="expression" dxfId="5391" priority="430">
      <formula>Z$9&lt;8/24</formula>
    </cfRule>
  </conditionalFormatting>
  <conditionalFormatting sqref="Z59:AF64">
    <cfRule type="expression" dxfId="5390" priority="426">
      <formula>Z59&gt;$AG59</formula>
    </cfRule>
  </conditionalFormatting>
  <conditionalFormatting sqref="Z45:AF45 Z13:AF15">
    <cfRule type="expression" dxfId="5389" priority="425">
      <formula>Z13&gt;$AG13</formula>
    </cfRule>
  </conditionalFormatting>
  <conditionalFormatting sqref="Z12:AF12">
    <cfRule type="expression" dxfId="5388" priority="421">
      <formula>Z$9&gt;=20/24</formula>
    </cfRule>
    <cfRule type="expression" dxfId="5387" priority="422">
      <formula>AND(Z$9&gt;=14/24,Z$9&lt;20/24)</formula>
    </cfRule>
    <cfRule type="expression" dxfId="5386" priority="423">
      <formula>AND(Z$9&gt;=8/24,Z$9&lt;14/24)</formula>
    </cfRule>
    <cfRule type="expression" dxfId="5385" priority="424">
      <formula>Z$9&lt;8/24</formula>
    </cfRule>
  </conditionalFormatting>
  <conditionalFormatting sqref="Z12:AF12">
    <cfRule type="expression" dxfId="5384" priority="420">
      <formula>Z12&gt;$AG12</formula>
    </cfRule>
  </conditionalFormatting>
  <conditionalFormatting sqref="Z13:AF15">
    <cfRule type="expression" dxfId="5383" priority="416">
      <formula>Z$9&gt;=20/24</formula>
    </cfRule>
    <cfRule type="expression" dxfId="5382" priority="417">
      <formula>AND(Z$9&gt;=14/24,Z$9&lt;20/24)</formula>
    </cfRule>
    <cfRule type="expression" dxfId="5381" priority="418">
      <formula>AND(Z$9&gt;=8/24,Z$9&lt;14/24)</formula>
    </cfRule>
    <cfRule type="expression" dxfId="5380" priority="419">
      <formula>Z$9&lt;8/24</formula>
    </cfRule>
  </conditionalFormatting>
  <conditionalFormatting sqref="Z45:AF45">
    <cfRule type="expression" dxfId="5379" priority="412">
      <formula>Z$9&gt;=20/24</formula>
    </cfRule>
    <cfRule type="expression" dxfId="5378" priority="413">
      <formula>AND(Z$9&gt;=14/24,Z$9&lt;20/24)</formula>
    </cfRule>
    <cfRule type="expression" dxfId="5377" priority="414">
      <formula>AND(Z$9&gt;=8/24,Z$9&lt;14/24)</formula>
    </cfRule>
    <cfRule type="expression" dxfId="5376" priority="415">
      <formula>Z$9&lt;8/24</formula>
    </cfRule>
  </conditionalFormatting>
  <conditionalFormatting sqref="F77:AF81">
    <cfRule type="expression" dxfId="5375" priority="408">
      <formula>F$9&gt;=20/24</formula>
    </cfRule>
    <cfRule type="expression" dxfId="5374" priority="409">
      <formula>AND(F$9&gt;=14/24,F$9&lt;20/24)</formula>
    </cfRule>
    <cfRule type="expression" dxfId="5373" priority="410">
      <formula>AND(F$9&gt;=8/24,F$9&lt;14/24)</formula>
    </cfRule>
    <cfRule type="expression" dxfId="5372" priority="411">
      <formula>F$9&lt;8/24</formula>
    </cfRule>
  </conditionalFormatting>
  <conditionalFormatting sqref="AL78:AN78 AL84:AN84 AN79:AN80">
    <cfRule type="expression" dxfId="5371" priority="404">
      <formula>AL$9&gt;=20/24</formula>
    </cfRule>
    <cfRule type="expression" dxfId="5370" priority="405">
      <formula>AND(AL$9&gt;=14/24,AL$9&lt;20/24)</formula>
    </cfRule>
    <cfRule type="expression" dxfId="5369" priority="406">
      <formula>AND(AL$9&gt;=8/24,AL$9&lt;14/24)</formula>
    </cfRule>
    <cfRule type="expression" dxfId="5368" priority="407">
      <formula>AL$9&lt;8/24</formula>
    </cfRule>
  </conditionalFormatting>
  <conditionalFormatting sqref="AN81:AN82">
    <cfRule type="expression" dxfId="5367" priority="400">
      <formula>AN$9&gt;=20/24</formula>
    </cfRule>
    <cfRule type="expression" dxfId="5366" priority="401">
      <formula>AND(AN$9&gt;=14/24,AN$9&lt;20/24)</formula>
    </cfRule>
    <cfRule type="expression" dxfId="5365" priority="402">
      <formula>AND(AN$9&gt;=8/24,AN$9&lt;14/24)</formula>
    </cfRule>
    <cfRule type="expression" dxfId="5364" priority="403">
      <formula>AN$9&lt;8/24</formula>
    </cfRule>
  </conditionalFormatting>
  <conditionalFormatting sqref="AL79:AM83">
    <cfRule type="expression" dxfId="5363" priority="617">
      <formula>AJ$9&gt;=20/24</formula>
    </cfRule>
    <cfRule type="expression" dxfId="5362" priority="618">
      <formula>AND(AJ$9&gt;=14/24,AJ$9&lt;20/24)</formula>
    </cfRule>
    <cfRule type="expression" dxfId="5361" priority="619">
      <formula>AND(AJ$9&gt;=8/24,AJ$9&lt;14/24)</formula>
    </cfRule>
    <cfRule type="expression" dxfId="5360" priority="620">
      <formula>AJ$9&lt;8/24</formula>
    </cfRule>
  </conditionalFormatting>
  <conditionalFormatting sqref="A117">
    <cfRule type="expression" dxfId="5359" priority="399">
      <formula>$AH117=0</formula>
    </cfRule>
  </conditionalFormatting>
  <conditionalFormatting sqref="C53:E53">
    <cfRule type="expression" dxfId="5358" priority="382">
      <formula>C$9&gt;=20/24</formula>
    </cfRule>
    <cfRule type="expression" dxfId="5357" priority="383">
      <formula>AND(C$9&gt;=14/24,C$9&lt;20/24)</formula>
    </cfRule>
    <cfRule type="expression" dxfId="5356" priority="384">
      <formula>AND(C$9&gt;=8/24,C$9&lt;14/24)</formula>
    </cfRule>
    <cfRule type="expression" dxfId="5355" priority="385">
      <formula>C$9&lt;8/24</formula>
    </cfRule>
  </conditionalFormatting>
  <conditionalFormatting sqref="C53:E57">
    <cfRule type="expression" dxfId="5354" priority="381">
      <formula>C53&gt;$AG53</formula>
    </cfRule>
  </conditionalFormatting>
  <conditionalFormatting sqref="C100:C106 C72:E74 C67:H69">
    <cfRule type="expression" dxfId="5353" priority="377">
      <formula>C$9&gt;=20/24</formula>
    </cfRule>
    <cfRule type="expression" dxfId="5352" priority="378">
      <formula>AND(C$9&gt;=14/24,C$9&lt;20/24)</formula>
    </cfRule>
    <cfRule type="expression" dxfId="5351" priority="379">
      <formula>AND(C$9&gt;=8/24,C$9&lt;14/24)</formula>
    </cfRule>
    <cfRule type="expression" dxfId="5350" priority="380">
      <formula>C$9&lt;8/24</formula>
    </cfRule>
  </conditionalFormatting>
  <conditionalFormatting sqref="C67:H69">
    <cfRule type="expression" dxfId="5349" priority="376">
      <formula>C67&gt;$AG67</formula>
    </cfRule>
  </conditionalFormatting>
  <conditionalFormatting sqref="C88">
    <cfRule type="expression" dxfId="5348" priority="372">
      <formula>C$9&gt;=20/24</formula>
    </cfRule>
    <cfRule type="expression" dxfId="5347" priority="373">
      <formula>AND(C$9&gt;=14/24,C$9&lt;20/24)</formula>
    </cfRule>
    <cfRule type="expression" dxfId="5346" priority="374">
      <formula>AND(C$9&gt;=8/24,C$9&lt;14/24)</formula>
    </cfRule>
    <cfRule type="expression" dxfId="5345" priority="375">
      <formula>C$9&lt;8/24</formula>
    </cfRule>
  </conditionalFormatting>
  <conditionalFormatting sqref="Z46:AF46">
    <cfRule type="expression" dxfId="5344" priority="368">
      <formula>Z$9&gt;=20/24</formula>
    </cfRule>
    <cfRule type="expression" dxfId="5343" priority="369">
      <formula>AND(Z$9&gt;=14/24,Z$9&lt;20/24)</formula>
    </cfRule>
    <cfRule type="expression" dxfId="5342" priority="370">
      <formula>AND(Z$9&gt;=8/24,Z$9&lt;14/24)</formula>
    </cfRule>
    <cfRule type="expression" dxfId="5341" priority="371">
      <formula>Z$9&lt;8/24</formula>
    </cfRule>
  </conditionalFormatting>
  <conditionalFormatting sqref="Z46:AF46">
    <cfRule type="expression" dxfId="5340" priority="367">
      <formula>Z46&gt;$AG46</formula>
    </cfRule>
  </conditionalFormatting>
  <conditionalFormatting sqref="C58:E58">
    <cfRule type="expression" dxfId="5339" priority="363">
      <formula>C$9&gt;=20/24</formula>
    </cfRule>
    <cfRule type="expression" dxfId="5338" priority="364">
      <formula>AND(C$9&gt;=14/24,C$9&lt;20/24)</formula>
    </cfRule>
    <cfRule type="expression" dxfId="5337" priority="365">
      <formula>AND(C$9&gt;=8/24,C$9&lt;14/24)</formula>
    </cfRule>
    <cfRule type="expression" dxfId="5336" priority="366">
      <formula>C$9&lt;8/24</formula>
    </cfRule>
  </conditionalFormatting>
  <conditionalFormatting sqref="C58:E58">
    <cfRule type="expression" dxfId="5335" priority="362">
      <formula>C58&gt;$AG58</formula>
    </cfRule>
  </conditionalFormatting>
  <conditionalFormatting sqref="C75:E76">
    <cfRule type="expression" dxfId="5334" priority="341">
      <formula>C$9&gt;=20/24</formula>
    </cfRule>
    <cfRule type="expression" dxfId="5333" priority="342">
      <formula>AND(C$9&gt;=14/24,C$9&lt;20/24)</formula>
    </cfRule>
    <cfRule type="expression" dxfId="5332" priority="343">
      <formula>AND(C$9&gt;=8/24,C$9&lt;14/24)</formula>
    </cfRule>
    <cfRule type="expression" dxfId="5331" priority="344">
      <formula>C$9&lt;8/24</formula>
    </cfRule>
  </conditionalFormatting>
  <conditionalFormatting sqref="H48:AF48">
    <cfRule type="expression" dxfId="5330" priority="336">
      <formula>H48&gt;$AG48</formula>
    </cfRule>
  </conditionalFormatting>
  <conditionalFormatting sqref="C59:Y64">
    <cfRule type="expression" dxfId="5329" priority="319">
      <formula>C$9&gt;=20/24</formula>
    </cfRule>
    <cfRule type="expression" dxfId="5328" priority="320">
      <formula>AND(C$9&gt;=14/24,C$9&lt;20/24)</formula>
    </cfRule>
    <cfRule type="expression" dxfId="5327" priority="321">
      <formula>AND(C$9&gt;=8/24,C$9&lt;14/24)</formula>
    </cfRule>
    <cfRule type="expression" dxfId="5326" priority="322">
      <formula>C$9&lt;8/24</formula>
    </cfRule>
  </conditionalFormatting>
  <conditionalFormatting sqref="C59:Y64">
    <cfRule type="expression" dxfId="5325" priority="318">
      <formula>C59&gt;$AG59</formula>
    </cfRule>
  </conditionalFormatting>
  <conditionalFormatting sqref="C77:E81">
    <cfRule type="expression" dxfId="5324" priority="314">
      <formula>C$9&gt;=20/24</formula>
    </cfRule>
    <cfRule type="expression" dxfId="5323" priority="315">
      <formula>AND(C$9&gt;=14/24,C$9&lt;20/24)</formula>
    </cfRule>
    <cfRule type="expression" dxfId="5322" priority="316">
      <formula>AND(C$9&gt;=8/24,C$9&lt;14/24)</formula>
    </cfRule>
    <cfRule type="expression" dxfId="5321" priority="317">
      <formula>C$9&lt;8/24</formula>
    </cfRule>
  </conditionalFormatting>
  <conditionalFormatting sqref="A11">
    <cfRule type="expression" dxfId="5320" priority="313">
      <formula>$AH11=0</formula>
    </cfRule>
  </conditionalFormatting>
  <conditionalFormatting sqref="Z11:AF11">
    <cfRule type="expression" dxfId="5319" priority="309">
      <formula>Z$9&gt;=20/24</formula>
    </cfRule>
    <cfRule type="expression" dxfId="5318" priority="310">
      <formula>AND(Z$9&gt;=14/24,Z$9&lt;20/24)</formula>
    </cfRule>
    <cfRule type="expression" dxfId="5317" priority="311">
      <formula>AND(Z$9&gt;=8/24,Z$9&lt;14/24)</formula>
    </cfRule>
    <cfRule type="expression" dxfId="5316" priority="312">
      <formula>Z$9&lt;8/24</formula>
    </cfRule>
  </conditionalFormatting>
  <conditionalFormatting sqref="Z11:AF11">
    <cfRule type="expression" dxfId="5315" priority="308">
      <formula>Z11&gt;$AG11</formula>
    </cfRule>
  </conditionalFormatting>
  <conditionalFormatting sqref="A16">
    <cfRule type="expression" dxfId="5314" priority="301">
      <formula>$AH16=0</formula>
    </cfRule>
  </conditionalFormatting>
  <conditionalFormatting sqref="AL16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5313" priority="297">
      <formula>Z$9&gt;=20/24</formula>
    </cfRule>
    <cfRule type="expression" dxfId="5312" priority="298">
      <formula>AND(Z$9&gt;=14/24,Z$9&lt;20/24)</formula>
    </cfRule>
    <cfRule type="expression" dxfId="5311" priority="299">
      <formula>AND(Z$9&gt;=8/24,Z$9&lt;14/24)</formula>
    </cfRule>
    <cfRule type="expression" dxfId="5310" priority="300">
      <formula>Z$9&lt;8/24</formula>
    </cfRule>
  </conditionalFormatting>
  <conditionalFormatting sqref="Z16:AF16">
    <cfRule type="expression" dxfId="5309" priority="296">
      <formula>Z16&gt;$AG16</formula>
    </cfRule>
  </conditionalFormatting>
  <conditionalFormatting sqref="A33">
    <cfRule type="expression" dxfId="5308" priority="289">
      <formula>$AH33=0</formula>
    </cfRule>
  </conditionalFormatting>
  <conditionalFormatting sqref="AL33">
    <cfRule type="iconSet" priority="290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5307" priority="285">
      <formula>Z$9&gt;=20/24</formula>
    </cfRule>
    <cfRule type="expression" dxfId="5306" priority="286">
      <formula>AND(Z$9&gt;=14/24,Z$9&lt;20/24)</formula>
    </cfRule>
    <cfRule type="expression" dxfId="5305" priority="287">
      <formula>AND(Z$9&gt;=8/24,Z$9&lt;14/24)</formula>
    </cfRule>
    <cfRule type="expression" dxfId="5304" priority="288">
      <formula>Z$9&lt;8/24</formula>
    </cfRule>
  </conditionalFormatting>
  <conditionalFormatting sqref="Z33:AF33">
    <cfRule type="expression" dxfId="5303" priority="284">
      <formula>Z33&gt;$AG33</formula>
    </cfRule>
  </conditionalFormatting>
  <conditionalFormatting sqref="A44">
    <cfRule type="expression" dxfId="5302" priority="277">
      <formula>$AH44=0</formula>
    </cfRule>
  </conditionalFormatting>
  <conditionalFormatting sqref="AL44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5301" priority="276">
      <formula>Z44&gt;$AG44</formula>
    </cfRule>
  </conditionalFormatting>
  <conditionalFormatting sqref="Z44:AF44">
    <cfRule type="expression" dxfId="5300" priority="272">
      <formula>Z$9&gt;=20/24</formula>
    </cfRule>
    <cfRule type="expression" dxfId="5299" priority="273">
      <formula>AND(Z$9&gt;=14/24,Z$9&lt;20/24)</formula>
    </cfRule>
    <cfRule type="expression" dxfId="5298" priority="274">
      <formula>AND(Z$9&gt;=8/24,Z$9&lt;14/24)</formula>
    </cfRule>
    <cfRule type="expression" dxfId="5297" priority="275">
      <formula>Z$9&lt;8/24</formula>
    </cfRule>
  </conditionalFormatting>
  <conditionalFormatting sqref="D117:AF117">
    <cfRule type="expression" dxfId="5296" priority="263">
      <formula>D$9&gt;=20/24</formula>
    </cfRule>
    <cfRule type="expression" dxfId="5295" priority="264">
      <formula>AND(D$9&gt;=14/24,D$9&lt;20/24)</formula>
    </cfRule>
    <cfRule type="expression" dxfId="5294" priority="265">
      <formula>AND(D$9&gt;=8/24,D$9&lt;14/24)</formula>
    </cfRule>
    <cfRule type="expression" dxfId="5293" priority="266">
      <formula>D$9&lt;8/24</formula>
    </cfRule>
  </conditionalFormatting>
  <conditionalFormatting sqref="C117">
    <cfRule type="expression" dxfId="5292" priority="259">
      <formula>C$9&gt;=20/24</formula>
    </cfRule>
    <cfRule type="expression" dxfId="5291" priority="260">
      <formula>AND(C$9&gt;=14/24,C$9&lt;20/24)</formula>
    </cfRule>
    <cfRule type="expression" dxfId="5290" priority="261">
      <formula>AND(C$9&gt;=8/24,C$9&lt;14/24)</formula>
    </cfRule>
    <cfRule type="expression" dxfId="5289" priority="262">
      <formula>C$9&lt;8/24</formula>
    </cfRule>
  </conditionalFormatting>
  <conditionalFormatting sqref="B111:B116 B109">
    <cfRule type="expression" dxfId="5288" priority="124">
      <formula>B$9&gt;=20/24</formula>
    </cfRule>
    <cfRule type="expression" dxfId="5287" priority="125">
      <formula>AND(B$9&gt;=14/24,B$9&lt;20/24)</formula>
    </cfRule>
    <cfRule type="expression" dxfId="5286" priority="126">
      <formula>AND(B$9&gt;=8/24,B$9&lt;14/24)</formula>
    </cfRule>
    <cfRule type="expression" dxfId="5285" priority="127">
      <formula>B$9&lt;8/24</formula>
    </cfRule>
  </conditionalFormatting>
  <conditionalFormatting sqref="B99">
    <cfRule type="expression" dxfId="5284" priority="120">
      <formula>B$9&gt;=20/24</formula>
    </cfRule>
    <cfRule type="expression" dxfId="5283" priority="121">
      <formula>AND(B$9&gt;=14/24,B$9&lt;20/24)</formula>
    </cfRule>
    <cfRule type="expression" dxfId="5282" priority="122">
      <formula>AND(B$9&gt;=8/24,B$9&lt;14/24)</formula>
    </cfRule>
    <cfRule type="expression" dxfId="5281" priority="123">
      <formula>B$9&lt;8/24</formula>
    </cfRule>
  </conditionalFormatting>
  <conditionalFormatting sqref="B71 B54:B57">
    <cfRule type="expression" dxfId="5280" priority="116">
      <formula>B$9&gt;=20/24</formula>
    </cfRule>
    <cfRule type="expression" dxfId="5279" priority="117">
      <formula>AND(B$9&gt;=14/24,B$9&lt;20/24)</formula>
    </cfRule>
    <cfRule type="expression" dxfId="5278" priority="118">
      <formula>AND(B$9&gt;=8/24,B$9&lt;14/24)</formula>
    </cfRule>
    <cfRule type="expression" dxfId="5277" priority="119">
      <formula>B$9&lt;8/24</formula>
    </cfRule>
  </conditionalFormatting>
  <conditionalFormatting sqref="B53">
    <cfRule type="expression" dxfId="5276" priority="112">
      <formula>B$9&gt;=20/24</formula>
    </cfRule>
    <cfRule type="expression" dxfId="5275" priority="113">
      <formula>AND(B$9&gt;=14/24,B$9&lt;20/24)</formula>
    </cfRule>
    <cfRule type="expression" dxfId="5274" priority="114">
      <formula>AND(B$9&gt;=8/24,B$9&lt;14/24)</formula>
    </cfRule>
    <cfRule type="expression" dxfId="5273" priority="115">
      <formula>B$9&lt;8/24</formula>
    </cfRule>
  </conditionalFormatting>
  <conditionalFormatting sqref="B53:B57">
    <cfRule type="expression" dxfId="5272" priority="111">
      <formula>B53&gt;$AG53</formula>
    </cfRule>
  </conditionalFormatting>
  <conditionalFormatting sqref="B96 B100:B106 B86 B72:B74 B67:B69 B47:D47">
    <cfRule type="expression" dxfId="5271" priority="107">
      <formula>B$9&gt;=20/24</formula>
    </cfRule>
    <cfRule type="expression" dxfId="5270" priority="108">
      <formula>AND(B$9&gt;=14/24,B$9&lt;20/24)</formula>
    </cfRule>
    <cfRule type="expression" dxfId="5269" priority="109">
      <formula>AND(B$9&gt;=8/24,B$9&lt;14/24)</formula>
    </cfRule>
    <cfRule type="expression" dxfId="5268" priority="110">
      <formula>B$9&lt;8/24</formula>
    </cfRule>
  </conditionalFormatting>
  <conditionalFormatting sqref="B67:B69 B47:D47">
    <cfRule type="expression" dxfId="5267" priority="106">
      <formula>B47&gt;$AG47</formula>
    </cfRule>
  </conditionalFormatting>
  <conditionalFormatting sqref="B97 B88">
    <cfRule type="expression" dxfId="5266" priority="102">
      <formula>B$9&gt;=20/24</formula>
    </cfRule>
    <cfRule type="expression" dxfId="5265" priority="103">
      <formula>AND(B$9&gt;=14/24,B$9&lt;20/24)</formula>
    </cfRule>
    <cfRule type="expression" dxfId="5264" priority="104">
      <formula>AND(B$9&gt;=8/24,B$9&lt;14/24)</formula>
    </cfRule>
    <cfRule type="expression" dxfId="5263" priority="105">
      <formula>B$9&lt;8/24</formula>
    </cfRule>
  </conditionalFormatting>
  <conditionalFormatting sqref="B58">
    <cfRule type="expression" dxfId="5262" priority="98">
      <formula>B$9&gt;=20/24</formula>
    </cfRule>
    <cfRule type="expression" dxfId="5261" priority="99">
      <formula>AND(B$9&gt;=14/24,B$9&lt;20/24)</formula>
    </cfRule>
    <cfRule type="expression" dxfId="5260" priority="100">
      <formula>AND(B$9&gt;=8/24,B$9&lt;14/24)</formula>
    </cfRule>
    <cfRule type="expression" dxfId="5259" priority="101">
      <formula>B$9&lt;8/24</formula>
    </cfRule>
  </conditionalFormatting>
  <conditionalFormatting sqref="B58">
    <cfRule type="expression" dxfId="5258" priority="97">
      <formula>B58&gt;$AG58</formula>
    </cfRule>
  </conditionalFormatting>
  <conditionalFormatting sqref="B91:B95">
    <cfRule type="expression" dxfId="5257" priority="93">
      <formula>B$9&gt;=20/24</formula>
    </cfRule>
    <cfRule type="expression" dxfId="5256" priority="94">
      <formula>AND(B$9&gt;=14/24,B$9&lt;20/24)</formula>
    </cfRule>
    <cfRule type="expression" dxfId="5255" priority="95">
      <formula>AND(B$9&gt;=8/24,B$9&lt;14/24)</formula>
    </cfRule>
    <cfRule type="expression" dxfId="5254" priority="96">
      <formula>B$9&lt;8/24</formula>
    </cfRule>
  </conditionalFormatting>
  <conditionalFormatting sqref="B49:E51">
    <cfRule type="expression" dxfId="5253" priority="89">
      <formula>B$9&gt;=20/24</formula>
    </cfRule>
    <cfRule type="expression" dxfId="5252" priority="90">
      <formula>AND(B$9&gt;=14/24,B$9&lt;20/24)</formula>
    </cfRule>
    <cfRule type="expression" dxfId="5251" priority="91">
      <formula>AND(B$9&gt;=8/24,B$9&lt;14/24)</formula>
    </cfRule>
    <cfRule type="expression" dxfId="5250" priority="92">
      <formula>B$9&lt;8/24</formula>
    </cfRule>
  </conditionalFormatting>
  <conditionalFormatting sqref="B49:E51">
    <cfRule type="expression" dxfId="5249" priority="88">
      <formula>B49&gt;$AG49</formula>
    </cfRule>
  </conditionalFormatting>
  <conditionalFormatting sqref="B107">
    <cfRule type="expression" dxfId="5248" priority="84">
      <formula>B$9&gt;=20/24</formula>
    </cfRule>
    <cfRule type="expression" dxfId="5247" priority="85">
      <formula>AND(B$9&gt;=14/24,B$9&lt;20/24)</formula>
    </cfRule>
    <cfRule type="expression" dxfId="5246" priority="86">
      <formula>AND(B$9&gt;=8/24,B$9&lt;14/24)</formula>
    </cfRule>
    <cfRule type="expression" dxfId="5245" priority="87">
      <formula>B$9&lt;8/24</formula>
    </cfRule>
  </conditionalFormatting>
  <conditionalFormatting sqref="B110">
    <cfRule type="expression" dxfId="5244" priority="80">
      <formula>B$9&gt;=20/24</formula>
    </cfRule>
    <cfRule type="expression" dxfId="5243" priority="81">
      <formula>AND(B$9&gt;=14/24,B$9&lt;20/24)</formula>
    </cfRule>
    <cfRule type="expression" dxfId="5242" priority="82">
      <formula>AND(B$9&gt;=8/24,B$9&lt;14/24)</formula>
    </cfRule>
    <cfRule type="expression" dxfId="5241" priority="83">
      <formula>B$9&lt;8/24</formula>
    </cfRule>
  </conditionalFormatting>
  <conditionalFormatting sqref="B34:Y43 B17:Y32">
    <cfRule type="expression" dxfId="5240" priority="76">
      <formula>B$9&gt;=20/24</formula>
    </cfRule>
    <cfRule type="expression" dxfId="5239" priority="77">
      <formula>AND(B$9&gt;=14/24,B$9&lt;20/24)</formula>
    </cfRule>
    <cfRule type="expression" dxfId="5238" priority="78">
      <formula>AND(B$9&gt;=8/24,B$9&lt;14/24)</formula>
    </cfRule>
    <cfRule type="expression" dxfId="5237" priority="79">
      <formula>B$9&lt;8/24</formula>
    </cfRule>
  </conditionalFormatting>
  <conditionalFormatting sqref="B34:Y43 B17:Y32">
    <cfRule type="expression" dxfId="5236" priority="75">
      <formula>B17&gt;$AG17</formula>
    </cfRule>
  </conditionalFormatting>
  <conditionalFormatting sqref="B83:B85 B75:B76">
    <cfRule type="expression" dxfId="5235" priority="71">
      <formula>B$9&gt;=20/24</formula>
    </cfRule>
    <cfRule type="expression" dxfId="5234" priority="72">
      <formula>AND(B$9&gt;=14/24,B$9&lt;20/24)</formula>
    </cfRule>
    <cfRule type="expression" dxfId="5233" priority="73">
      <formula>AND(B$9&gt;=8/24,B$9&lt;14/24)</formula>
    </cfRule>
    <cfRule type="expression" dxfId="5232" priority="74">
      <formula>B$9&lt;8/24</formula>
    </cfRule>
  </conditionalFormatting>
  <conditionalFormatting sqref="B87 B89 B98 B70:K70">
    <cfRule type="expression" dxfId="5231" priority="67">
      <formula>B$9&gt;=20/24</formula>
    </cfRule>
    <cfRule type="expression" dxfId="5230" priority="68">
      <formula>AND(B$9&gt;=14/24,B$9&lt;20/24)</formula>
    </cfRule>
    <cfRule type="expression" dxfId="5229" priority="69">
      <formula>AND(B$9&gt;=8/24,B$9&lt;14/24)</formula>
    </cfRule>
    <cfRule type="expression" dxfId="5228" priority="70">
      <formula>B$9&lt;8/24</formula>
    </cfRule>
  </conditionalFormatting>
  <conditionalFormatting sqref="B65:B66 B48:G48 B70:K70">
    <cfRule type="expression" dxfId="5227" priority="66">
      <formula>B48&gt;$AG48</formula>
    </cfRule>
  </conditionalFormatting>
  <conditionalFormatting sqref="B82">
    <cfRule type="expression" dxfId="5226" priority="62">
      <formula>B$9&gt;=20/24</formula>
    </cfRule>
    <cfRule type="expression" dxfId="5225" priority="63">
      <formula>AND(B$9&gt;=14/24,B$9&lt;20/24)</formula>
    </cfRule>
    <cfRule type="expression" dxfId="5224" priority="64">
      <formula>AND(B$9&gt;=8/24,B$9&lt;14/24)</formula>
    </cfRule>
    <cfRule type="expression" dxfId="5223" priority="65">
      <formula>B$9&lt;8/24</formula>
    </cfRule>
  </conditionalFormatting>
  <conditionalFormatting sqref="B52">
    <cfRule type="expression" dxfId="5222" priority="58">
      <formula>B$9&gt;=20/24</formula>
    </cfRule>
    <cfRule type="expression" dxfId="5221" priority="59">
      <formula>AND(B$9&gt;=14/24,B$9&lt;20/24)</formula>
    </cfRule>
    <cfRule type="expression" dxfId="5220" priority="60">
      <formula>AND(B$9&gt;=8/24,B$9&lt;14/24)</formula>
    </cfRule>
    <cfRule type="expression" dxfId="5219" priority="61">
      <formula>B$9&lt;8/24</formula>
    </cfRule>
  </conditionalFormatting>
  <conditionalFormatting sqref="B52">
    <cfRule type="expression" dxfId="5218" priority="57">
      <formula>B52&gt;$AG52</formula>
    </cfRule>
  </conditionalFormatting>
  <conditionalFormatting sqref="B59:B64">
    <cfRule type="expression" dxfId="5217" priority="49">
      <formula>B$9&gt;=20/24</formula>
    </cfRule>
    <cfRule type="expression" dxfId="5216" priority="50">
      <formula>AND(B$9&gt;=14/24,B$9&lt;20/24)</formula>
    </cfRule>
    <cfRule type="expression" dxfId="5215" priority="51">
      <formula>AND(B$9&gt;=8/24,B$9&lt;14/24)</formula>
    </cfRule>
    <cfRule type="expression" dxfId="5214" priority="52">
      <formula>B$9&lt;8/24</formula>
    </cfRule>
  </conditionalFormatting>
  <conditionalFormatting sqref="B59:B64">
    <cfRule type="expression" dxfId="5213" priority="48">
      <formula>B59&gt;$AG59</formula>
    </cfRule>
  </conditionalFormatting>
  <conditionalFormatting sqref="B45:Y45 B13:Y15">
    <cfRule type="expression" dxfId="5212" priority="47">
      <formula>B13&gt;$AG13</formula>
    </cfRule>
  </conditionalFormatting>
  <conditionalFormatting sqref="B12:Y12">
    <cfRule type="expression" dxfId="5211" priority="43">
      <formula>B$9&gt;=20/24</formula>
    </cfRule>
    <cfRule type="expression" dxfId="5210" priority="44">
      <formula>AND(B$9&gt;=14/24,B$9&lt;20/24)</formula>
    </cfRule>
    <cfRule type="expression" dxfId="5209" priority="45">
      <formula>AND(B$9&gt;=8/24,B$9&lt;14/24)</formula>
    </cfRule>
    <cfRule type="expression" dxfId="5208" priority="46">
      <formula>B$9&lt;8/24</formula>
    </cfRule>
  </conditionalFormatting>
  <conditionalFormatting sqref="B12:Y12">
    <cfRule type="expression" dxfId="5207" priority="42">
      <formula>B12&gt;$AG12</formula>
    </cfRule>
  </conditionalFormatting>
  <conditionalFormatting sqref="B13:Y15">
    <cfRule type="expression" dxfId="5206" priority="38">
      <formula>B$9&gt;=20/24</formula>
    </cfRule>
    <cfRule type="expression" dxfId="5205" priority="39">
      <formula>AND(B$9&gt;=14/24,B$9&lt;20/24)</formula>
    </cfRule>
    <cfRule type="expression" dxfId="5204" priority="40">
      <formula>AND(B$9&gt;=8/24,B$9&lt;14/24)</formula>
    </cfRule>
    <cfRule type="expression" dxfId="5203" priority="41">
      <formula>B$9&lt;8/24</formula>
    </cfRule>
  </conditionalFormatting>
  <conditionalFormatting sqref="B45:Y45">
    <cfRule type="expression" dxfId="5202" priority="34">
      <formula>B$9&gt;=20/24</formula>
    </cfRule>
    <cfRule type="expression" dxfId="5201" priority="35">
      <formula>AND(B$9&gt;=14/24,B$9&lt;20/24)</formula>
    </cfRule>
    <cfRule type="expression" dxfId="5200" priority="36">
      <formula>AND(B$9&gt;=8/24,B$9&lt;14/24)</formula>
    </cfRule>
    <cfRule type="expression" dxfId="5199" priority="37">
      <formula>B$9&lt;8/24</formula>
    </cfRule>
  </conditionalFormatting>
  <conditionalFormatting sqref="B77:B81">
    <cfRule type="expression" dxfId="5198" priority="30">
      <formula>B$9&gt;=20/24</formula>
    </cfRule>
    <cfRule type="expression" dxfId="5197" priority="31">
      <formula>AND(B$9&gt;=14/24,B$9&lt;20/24)</formula>
    </cfRule>
    <cfRule type="expression" dxfId="5196" priority="32">
      <formula>AND(B$9&gt;=8/24,B$9&lt;14/24)</formula>
    </cfRule>
    <cfRule type="expression" dxfId="5195" priority="33">
      <formula>B$9&lt;8/24</formula>
    </cfRule>
  </conditionalFormatting>
  <conditionalFormatting sqref="B46:Y46">
    <cfRule type="expression" dxfId="5194" priority="26">
      <formula>B$9&gt;=20/24</formula>
    </cfRule>
    <cfRule type="expression" dxfId="5193" priority="27">
      <formula>AND(B$9&gt;=14/24,B$9&lt;20/24)</formula>
    </cfRule>
    <cfRule type="expression" dxfId="5192" priority="28">
      <formula>AND(B$9&gt;=8/24,B$9&lt;14/24)</formula>
    </cfRule>
    <cfRule type="expression" dxfId="5191" priority="29">
      <formula>B$9&lt;8/24</formula>
    </cfRule>
  </conditionalFormatting>
  <conditionalFormatting sqref="B46:Y46">
    <cfRule type="expression" dxfId="5190" priority="25">
      <formula>B46&gt;$AG46</formula>
    </cfRule>
  </conditionalFormatting>
  <conditionalFormatting sqref="B11:Y11">
    <cfRule type="expression" dxfId="5189" priority="21">
      <formula>B$9&gt;=20/24</formula>
    </cfRule>
    <cfRule type="expression" dxfId="5188" priority="22">
      <formula>AND(B$9&gt;=14/24,B$9&lt;20/24)</formula>
    </cfRule>
    <cfRule type="expression" dxfId="5187" priority="23">
      <formula>AND(B$9&gt;=8/24,B$9&lt;14/24)</formula>
    </cfRule>
    <cfRule type="expression" dxfId="5186" priority="24">
      <formula>B$9&lt;8/24</formula>
    </cfRule>
  </conditionalFormatting>
  <conditionalFormatting sqref="B11:Y11">
    <cfRule type="expression" dxfId="5185" priority="20">
      <formula>B11&gt;$AG11</formula>
    </cfRule>
  </conditionalFormatting>
  <conditionalFormatting sqref="B16:Y16">
    <cfRule type="expression" dxfId="5184" priority="16">
      <formula>B$9&gt;=20/24</formula>
    </cfRule>
    <cfRule type="expression" dxfId="5183" priority="17">
      <formula>AND(B$9&gt;=14/24,B$9&lt;20/24)</formula>
    </cfRule>
    <cfRule type="expression" dxfId="5182" priority="18">
      <formula>AND(B$9&gt;=8/24,B$9&lt;14/24)</formula>
    </cfRule>
    <cfRule type="expression" dxfId="5181" priority="19">
      <formula>B$9&lt;8/24</formula>
    </cfRule>
  </conditionalFormatting>
  <conditionalFormatting sqref="B16:Y16">
    <cfRule type="expression" dxfId="5180" priority="15">
      <formula>B16&gt;$AG16</formula>
    </cfRule>
  </conditionalFormatting>
  <conditionalFormatting sqref="B33:Y33">
    <cfRule type="expression" dxfId="5179" priority="11">
      <formula>B$9&gt;=20/24</formula>
    </cfRule>
    <cfRule type="expression" dxfId="5178" priority="12">
      <formula>AND(B$9&gt;=14/24,B$9&lt;20/24)</formula>
    </cfRule>
    <cfRule type="expression" dxfId="5177" priority="13">
      <formula>AND(B$9&gt;=8/24,B$9&lt;14/24)</formula>
    </cfRule>
    <cfRule type="expression" dxfId="5176" priority="14">
      <formula>B$9&lt;8/24</formula>
    </cfRule>
  </conditionalFormatting>
  <conditionalFormatting sqref="B33:Y33">
    <cfRule type="expression" dxfId="5175" priority="10">
      <formula>B33&gt;$AG33</formula>
    </cfRule>
  </conditionalFormatting>
  <conditionalFormatting sqref="B44:Y44">
    <cfRule type="expression" dxfId="5174" priority="9">
      <formula>B44&gt;$AG44</formula>
    </cfRule>
  </conditionalFormatting>
  <conditionalFormatting sqref="B44:Y44">
    <cfRule type="expression" dxfId="5173" priority="5">
      <formula>B$9&gt;=20/24</formula>
    </cfRule>
    <cfRule type="expression" dxfId="5172" priority="6">
      <formula>AND(B$9&gt;=14/24,B$9&lt;20/24)</formula>
    </cfRule>
    <cfRule type="expression" dxfId="5171" priority="7">
      <formula>AND(B$9&gt;=8/24,B$9&lt;14/24)</formula>
    </cfRule>
    <cfRule type="expression" dxfId="5170" priority="8">
      <formula>B$9&lt;8/24</formula>
    </cfRule>
  </conditionalFormatting>
  <conditionalFormatting sqref="B117">
    <cfRule type="expression" dxfId="5169" priority="1">
      <formula>B$9&gt;=20/24</formula>
    </cfRule>
    <cfRule type="expression" dxfId="5168" priority="2">
      <formula>AND(B$9&gt;=14/24,B$9&lt;20/24)</formula>
    </cfRule>
    <cfRule type="expression" dxfId="5167" priority="3">
      <formula>AND(B$9&gt;=8/24,B$9&lt;14/24)</formula>
    </cfRule>
    <cfRule type="expression" dxfId="5166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5" id="{68F6A52C-E1A0-47D5-B456-7DBD6CF17A1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36" id="{1BCC862C-72C4-4868-A838-C16FBBA597F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7" id="{BDDF6533-BB3A-4FA3-A4F4-71B2DC11460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8" id="{9121CD9B-3981-49E8-8240-9E30168252D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53" id="{8CE98787-24A2-40B5-BC3E-FED51224271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4" id="{0972AE7C-505F-442C-A3AD-3187B050C3B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5" id="{5961734B-0D57-4D1D-A7CD-B1FFCBAD0CE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6" id="{90511B50-A516-4C44-AA48-75BF493EB45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="90" zoomScaleNormal="90" workbookViewId="0">
      <pane ySplit="10" topLeftCell="A56" activePane="bottomLeft" state="frozen"/>
      <selection activeCell="Z85" sqref="Z85"/>
      <selection pane="bottomLeft" activeCell="M29" sqref="M29:R29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2079/12/14</v>
      </c>
      <c r="C4" s="236"/>
      <c r="D4" s="236"/>
      <c r="E4" s="237" t="str">
        <f ca="1">"2079/"&amp;"12/"&amp;INT(MID(CELL("filename",G6),FIND("]",CELL("filename",G6))+1,200))</f>
        <v>2079/12/14</v>
      </c>
      <c r="F4" s="237"/>
      <c r="G4" s="237"/>
      <c r="H4" s="237" t="str">
        <f ca="1">TEXT(E4,"dddd")</f>
        <v>Thursday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599.5</v>
      </c>
      <c r="C5" s="33">
        <f t="shared" si="0"/>
        <v>626.70000000000005</v>
      </c>
      <c r="D5" s="33">
        <f t="shared" si="0"/>
        <v>571.4</v>
      </c>
      <c r="E5" s="33">
        <f t="shared" si="0"/>
        <v>565</v>
      </c>
      <c r="F5" s="33">
        <f t="shared" si="0"/>
        <v>557.20000000000005</v>
      </c>
      <c r="G5" s="33">
        <f t="shared" si="0"/>
        <v>556.80000000000007</v>
      </c>
      <c r="H5" s="33">
        <f t="shared" si="0"/>
        <v>523.5</v>
      </c>
      <c r="I5" s="33">
        <f t="shared" si="0"/>
        <v>586.6</v>
      </c>
      <c r="J5" s="33">
        <f t="shared" si="0"/>
        <v>609.29999999999995</v>
      </c>
      <c r="K5" s="33">
        <f t="shared" si="0"/>
        <v>616.9</v>
      </c>
      <c r="L5" s="33">
        <f t="shared" si="0"/>
        <v>587.1</v>
      </c>
      <c r="M5" s="33">
        <f t="shared" si="0"/>
        <v>656.9</v>
      </c>
      <c r="N5" s="33">
        <f t="shared" si="0"/>
        <v>679.3</v>
      </c>
      <c r="O5" s="33">
        <f t="shared" si="0"/>
        <v>718.80000000000007</v>
      </c>
      <c r="P5" s="33">
        <f t="shared" si="0"/>
        <v>610.1</v>
      </c>
      <c r="Q5" s="33">
        <f t="shared" si="0"/>
        <v>653.80000000000007</v>
      </c>
      <c r="R5" s="33">
        <f t="shared" si="0"/>
        <v>648</v>
      </c>
      <c r="S5" s="33">
        <f t="shared" si="0"/>
        <v>667.2</v>
      </c>
      <c r="T5" s="33">
        <f t="shared" si="0"/>
        <v>667.2</v>
      </c>
      <c r="U5" s="33">
        <f t="shared" si="0"/>
        <v>665.2</v>
      </c>
      <c r="V5" s="33">
        <f t="shared" si="0"/>
        <v>622.90000000000009</v>
      </c>
      <c r="W5" s="33">
        <f t="shared" si="0"/>
        <v>622.6</v>
      </c>
      <c r="X5" s="33">
        <f t="shared" si="0"/>
        <v>600.29999999999995</v>
      </c>
      <c r="Y5" s="33">
        <f t="shared" si="0"/>
        <v>557</v>
      </c>
      <c r="Z5" s="33">
        <f t="shared" si="0"/>
        <v>529</v>
      </c>
      <c r="AA5" s="33">
        <f t="shared" si="0"/>
        <v>554.9</v>
      </c>
      <c r="AB5" s="33">
        <f t="shared" si="0"/>
        <v>577.70000000000005</v>
      </c>
      <c r="AC5" s="33">
        <f t="shared" si="0"/>
        <v>520.70000000000005</v>
      </c>
      <c r="AD5" s="33">
        <f t="shared" si="0"/>
        <v>564.6</v>
      </c>
      <c r="AE5" s="33">
        <f t="shared" si="0"/>
        <v>609.20000000000005</v>
      </c>
      <c r="AF5" s="33">
        <f>B82</f>
        <v>614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1511MW at 7:30hr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Load=1287</v>
      </c>
      <c r="B7" s="38">
        <f t="shared" ref="B7:AF7" si="1">B89</f>
        <v>1344.8799999999999</v>
      </c>
      <c r="C7" s="38">
        <f t="shared" si="1"/>
        <v>1333.24</v>
      </c>
      <c r="D7" s="38">
        <f t="shared" si="1"/>
        <v>1322.34</v>
      </c>
      <c r="E7" s="38">
        <f t="shared" si="1"/>
        <v>1315.94</v>
      </c>
      <c r="F7" s="38">
        <f t="shared" si="1"/>
        <v>1287.1399999999999</v>
      </c>
      <c r="G7" s="38">
        <f t="shared" si="1"/>
        <v>1325.74</v>
      </c>
      <c r="H7" s="38">
        <f t="shared" si="1"/>
        <v>1369.14</v>
      </c>
      <c r="I7" s="38">
        <f t="shared" si="1"/>
        <v>1379.04</v>
      </c>
      <c r="J7" s="38">
        <f t="shared" si="1"/>
        <v>1400.1399999999999</v>
      </c>
      <c r="K7" s="38">
        <f t="shared" si="1"/>
        <v>1444.84</v>
      </c>
      <c r="L7" s="38">
        <f t="shared" si="1"/>
        <v>1511.44</v>
      </c>
      <c r="M7" s="38">
        <f t="shared" si="1"/>
        <v>1483.04</v>
      </c>
      <c r="N7" s="38">
        <f>N89</f>
        <v>1468.1399999999999</v>
      </c>
      <c r="O7" s="38">
        <f t="shared" si="1"/>
        <v>1490.54</v>
      </c>
      <c r="P7" s="38">
        <f t="shared" si="1"/>
        <v>1532.3400000000001</v>
      </c>
      <c r="Q7" s="38">
        <f t="shared" si="1"/>
        <v>1495.04</v>
      </c>
      <c r="R7" s="38">
        <f t="shared" si="1"/>
        <v>1494.8400000000001</v>
      </c>
      <c r="S7" s="38">
        <f t="shared" si="1"/>
        <v>1558.24</v>
      </c>
      <c r="T7" s="38">
        <f t="shared" si="1"/>
        <v>1575.54</v>
      </c>
      <c r="U7" s="38">
        <f t="shared" si="1"/>
        <v>1572.94</v>
      </c>
      <c r="V7" s="38">
        <f t="shared" si="1"/>
        <v>1551.54</v>
      </c>
      <c r="W7" s="38">
        <f t="shared" si="1"/>
        <v>1528.74</v>
      </c>
      <c r="X7" s="38">
        <f t="shared" si="1"/>
        <v>1542.1399999999999</v>
      </c>
      <c r="Y7" s="38">
        <f t="shared" si="1"/>
        <v>1520.04</v>
      </c>
      <c r="Z7" s="38">
        <f t="shared" si="1"/>
        <v>1711.44</v>
      </c>
      <c r="AA7" s="38">
        <f t="shared" si="1"/>
        <v>1673.44</v>
      </c>
      <c r="AB7" s="38">
        <f t="shared" si="1"/>
        <v>1693.7399999999998</v>
      </c>
      <c r="AC7" s="38">
        <f t="shared" si="1"/>
        <v>1358.6399999999999</v>
      </c>
      <c r="AD7" s="38">
        <f t="shared" si="1"/>
        <v>1312.34</v>
      </c>
      <c r="AE7" s="38">
        <f t="shared" si="1"/>
        <v>1321.34</v>
      </c>
      <c r="AF7" s="38">
        <f t="shared" si="1"/>
        <v>1405.9399999999998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24</v>
      </c>
      <c r="C11" s="50">
        <v>24</v>
      </c>
      <c r="D11" s="50">
        <v>24</v>
      </c>
      <c r="E11" s="50">
        <v>24</v>
      </c>
      <c r="F11" s="50">
        <v>24</v>
      </c>
      <c r="G11" s="50">
        <v>24</v>
      </c>
      <c r="H11" s="50">
        <v>24</v>
      </c>
      <c r="I11" s="50">
        <v>24</v>
      </c>
      <c r="J11" s="50">
        <v>24</v>
      </c>
      <c r="K11" s="50">
        <v>24</v>
      </c>
      <c r="L11" s="50">
        <v>24</v>
      </c>
      <c r="M11" s="50">
        <v>24</v>
      </c>
      <c r="N11" s="50">
        <v>24</v>
      </c>
      <c r="O11" s="50">
        <v>24</v>
      </c>
      <c r="P11" s="50">
        <v>23</v>
      </c>
      <c r="Q11" s="50">
        <v>23</v>
      </c>
      <c r="R11" s="50">
        <v>23</v>
      </c>
      <c r="S11" s="50">
        <v>23</v>
      </c>
      <c r="T11" s="50">
        <v>23</v>
      </c>
      <c r="U11" s="50">
        <v>23</v>
      </c>
      <c r="V11" s="50">
        <v>23</v>
      </c>
      <c r="W11" s="50">
        <v>23</v>
      </c>
      <c r="X11" s="50">
        <v>23</v>
      </c>
      <c r="Y11" s="50">
        <v>23</v>
      </c>
      <c r="Z11" s="50">
        <v>23</v>
      </c>
      <c r="AA11" s="50">
        <v>23</v>
      </c>
      <c r="AB11" s="50">
        <v>23</v>
      </c>
      <c r="AC11" s="50">
        <v>23</v>
      </c>
      <c r="AD11" s="50">
        <v>23</v>
      </c>
      <c r="AE11" s="50">
        <v>23</v>
      </c>
      <c r="AF11" s="50">
        <v>23</v>
      </c>
      <c r="AG11" s="51">
        <v>86</v>
      </c>
      <c r="AH11" s="52">
        <f t="shared" ref="AH11:AH74" si="2">MAX(B11:AF11)</f>
        <v>24</v>
      </c>
      <c r="AI11" s="53">
        <f t="shared" ref="AI11:AI74" si="3">MIN(B11:AF11)</f>
        <v>23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13.6</v>
      </c>
      <c r="C12" s="50">
        <v>13.6</v>
      </c>
      <c r="D12" s="50">
        <v>13.6</v>
      </c>
      <c r="E12" s="50">
        <v>13.6</v>
      </c>
      <c r="F12" s="50">
        <v>13.6</v>
      </c>
      <c r="G12" s="50">
        <v>13.5</v>
      </c>
      <c r="H12" s="50">
        <v>13.5</v>
      </c>
      <c r="I12" s="50">
        <v>13.5</v>
      </c>
      <c r="J12" s="50">
        <v>13.5</v>
      </c>
      <c r="K12" s="50">
        <v>13.5</v>
      </c>
      <c r="L12" s="50">
        <v>13.5</v>
      </c>
      <c r="M12" s="50">
        <v>13.5</v>
      </c>
      <c r="N12" s="50">
        <v>13.5</v>
      </c>
      <c r="O12" s="50">
        <v>13.5</v>
      </c>
      <c r="P12" s="50">
        <v>16</v>
      </c>
      <c r="Q12" s="50">
        <v>16</v>
      </c>
      <c r="R12" s="50">
        <v>16</v>
      </c>
      <c r="S12" s="50">
        <v>16</v>
      </c>
      <c r="T12" s="50">
        <v>16</v>
      </c>
      <c r="U12" s="50">
        <v>16</v>
      </c>
      <c r="V12" s="50">
        <v>16</v>
      </c>
      <c r="W12" s="50">
        <v>16</v>
      </c>
      <c r="X12" s="50">
        <v>16</v>
      </c>
      <c r="Y12" s="50">
        <v>16</v>
      </c>
      <c r="Z12" s="50">
        <v>16</v>
      </c>
      <c r="AA12" s="50">
        <v>16</v>
      </c>
      <c r="AB12" s="50">
        <v>16</v>
      </c>
      <c r="AC12" s="50">
        <v>16</v>
      </c>
      <c r="AD12" s="50">
        <v>16</v>
      </c>
      <c r="AE12" s="50">
        <v>16</v>
      </c>
      <c r="AF12" s="50">
        <v>16</v>
      </c>
      <c r="AG12" s="51">
        <v>52.4</v>
      </c>
      <c r="AH12" s="52">
        <f t="shared" si="2"/>
        <v>16</v>
      </c>
      <c r="AI12" s="53">
        <f t="shared" si="3"/>
        <v>13.5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29.9</v>
      </c>
      <c r="C13" s="50">
        <v>29.9</v>
      </c>
      <c r="D13" s="50">
        <v>29.9</v>
      </c>
      <c r="E13" s="50">
        <v>29.9</v>
      </c>
      <c r="F13" s="50">
        <v>29.9</v>
      </c>
      <c r="G13" s="50">
        <v>33.4</v>
      </c>
      <c r="H13" s="50">
        <v>33.4</v>
      </c>
      <c r="I13" s="50">
        <v>33.4</v>
      </c>
      <c r="J13" s="50">
        <v>33.4</v>
      </c>
      <c r="K13" s="50">
        <v>33.4</v>
      </c>
      <c r="L13" s="50">
        <v>33.4</v>
      </c>
      <c r="M13" s="50">
        <v>33.4</v>
      </c>
      <c r="N13" s="50">
        <v>33.4</v>
      </c>
      <c r="O13" s="50">
        <v>33.4</v>
      </c>
      <c r="P13" s="50">
        <v>32.799999999999997</v>
      </c>
      <c r="Q13" s="50">
        <v>32.799999999999997</v>
      </c>
      <c r="R13" s="50">
        <v>32.799999999999997</v>
      </c>
      <c r="S13" s="50">
        <v>32.799999999999997</v>
      </c>
      <c r="T13" s="50">
        <v>32.799999999999997</v>
      </c>
      <c r="U13" s="50">
        <v>32.799999999999997</v>
      </c>
      <c r="V13" s="50">
        <v>32.799999999999997</v>
      </c>
      <c r="W13" s="50">
        <v>32.799999999999997</v>
      </c>
      <c r="X13" s="50">
        <v>32.799999999999997</v>
      </c>
      <c r="Y13" s="50">
        <v>32.799999999999997</v>
      </c>
      <c r="Z13" s="50">
        <v>32.799999999999997</v>
      </c>
      <c r="AA13" s="50">
        <v>32.799999999999997</v>
      </c>
      <c r="AB13" s="50">
        <v>32.799999999999997</v>
      </c>
      <c r="AC13" s="50">
        <v>32.799999999999997</v>
      </c>
      <c r="AD13" s="50">
        <v>32.799999999999997</v>
      </c>
      <c r="AE13" s="50">
        <v>32.799999999999997</v>
      </c>
      <c r="AF13" s="50">
        <v>32.799999999999997</v>
      </c>
      <c r="AG13" s="55">
        <v>50</v>
      </c>
      <c r="AH13" s="52">
        <f t="shared" si="2"/>
        <v>33.4</v>
      </c>
      <c r="AI13" s="53">
        <f t="shared" si="3"/>
        <v>29.9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17.2</v>
      </c>
      <c r="C14" s="50">
        <v>17.2</v>
      </c>
      <c r="D14" s="50">
        <v>17.2</v>
      </c>
      <c r="E14" s="50">
        <v>17.2</v>
      </c>
      <c r="F14" s="50">
        <v>17.2</v>
      </c>
      <c r="G14" s="50">
        <v>15.8</v>
      </c>
      <c r="H14" s="50">
        <v>15.8</v>
      </c>
      <c r="I14" s="50">
        <v>15.8</v>
      </c>
      <c r="J14" s="50">
        <v>15.8</v>
      </c>
      <c r="K14" s="50">
        <v>15.8</v>
      </c>
      <c r="L14" s="50">
        <v>15.8</v>
      </c>
      <c r="M14" s="50">
        <v>15.8</v>
      </c>
      <c r="N14" s="50">
        <v>15.8</v>
      </c>
      <c r="O14" s="50">
        <v>15.8</v>
      </c>
      <c r="P14" s="50">
        <v>15</v>
      </c>
      <c r="Q14" s="50">
        <v>15</v>
      </c>
      <c r="R14" s="50">
        <v>15</v>
      </c>
      <c r="S14" s="50">
        <v>15</v>
      </c>
      <c r="T14" s="50">
        <v>15</v>
      </c>
      <c r="U14" s="50">
        <v>15</v>
      </c>
      <c r="V14" s="50">
        <v>15</v>
      </c>
      <c r="W14" s="50">
        <v>15</v>
      </c>
      <c r="X14" s="50">
        <v>15</v>
      </c>
      <c r="Y14" s="50">
        <v>15</v>
      </c>
      <c r="Z14" s="50">
        <v>15</v>
      </c>
      <c r="AA14" s="50">
        <v>15</v>
      </c>
      <c r="AB14" s="50">
        <v>15</v>
      </c>
      <c r="AC14" s="50">
        <v>15</v>
      </c>
      <c r="AD14" s="50">
        <v>15</v>
      </c>
      <c r="AE14" s="50">
        <v>15</v>
      </c>
      <c r="AF14" s="50">
        <v>15</v>
      </c>
      <c r="AG14" s="55">
        <v>45</v>
      </c>
      <c r="AH14" s="52">
        <f t="shared" si="2"/>
        <v>17.2</v>
      </c>
      <c r="AI14" s="53">
        <f t="shared" si="3"/>
        <v>15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12</v>
      </c>
      <c r="C15" s="50">
        <v>12</v>
      </c>
      <c r="D15" s="50">
        <v>12</v>
      </c>
      <c r="E15" s="50">
        <v>12</v>
      </c>
      <c r="F15" s="50">
        <v>12</v>
      </c>
      <c r="G15" s="50">
        <v>11</v>
      </c>
      <c r="H15" s="50">
        <v>11</v>
      </c>
      <c r="I15" s="50">
        <v>11</v>
      </c>
      <c r="J15" s="50">
        <v>11</v>
      </c>
      <c r="K15" s="50">
        <v>11</v>
      </c>
      <c r="L15" s="50">
        <v>11</v>
      </c>
      <c r="M15" s="50">
        <v>11</v>
      </c>
      <c r="N15" s="50">
        <v>11</v>
      </c>
      <c r="O15" s="50">
        <v>11</v>
      </c>
      <c r="P15" s="50">
        <v>10</v>
      </c>
      <c r="Q15" s="50">
        <v>10</v>
      </c>
      <c r="R15" s="50">
        <v>10</v>
      </c>
      <c r="S15" s="50">
        <v>10</v>
      </c>
      <c r="T15" s="50">
        <v>10</v>
      </c>
      <c r="U15" s="50">
        <v>10</v>
      </c>
      <c r="V15" s="50">
        <v>10</v>
      </c>
      <c r="W15" s="50">
        <v>10</v>
      </c>
      <c r="X15" s="50">
        <v>10</v>
      </c>
      <c r="Y15" s="50">
        <v>10</v>
      </c>
      <c r="Z15" s="50">
        <v>10</v>
      </c>
      <c r="AA15" s="50">
        <v>10</v>
      </c>
      <c r="AB15" s="50">
        <v>10</v>
      </c>
      <c r="AC15" s="50">
        <v>10</v>
      </c>
      <c r="AD15" s="50">
        <v>10</v>
      </c>
      <c r="AE15" s="50">
        <v>10</v>
      </c>
      <c r="AF15" s="50">
        <v>10</v>
      </c>
      <c r="AG15" s="55">
        <v>42</v>
      </c>
      <c r="AH15" s="52">
        <f t="shared" si="2"/>
        <v>12</v>
      </c>
      <c r="AI15" s="53">
        <f t="shared" si="3"/>
        <v>10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14</v>
      </c>
      <c r="C16" s="50">
        <v>14</v>
      </c>
      <c r="D16" s="50">
        <v>14</v>
      </c>
      <c r="E16" s="50">
        <v>14</v>
      </c>
      <c r="F16" s="50">
        <v>14</v>
      </c>
      <c r="G16" s="50">
        <v>14</v>
      </c>
      <c r="H16" s="50">
        <v>14</v>
      </c>
      <c r="I16" s="50">
        <v>14</v>
      </c>
      <c r="J16" s="50">
        <v>14</v>
      </c>
      <c r="K16" s="50">
        <v>14</v>
      </c>
      <c r="L16" s="50">
        <v>14</v>
      </c>
      <c r="M16" s="50">
        <v>14</v>
      </c>
      <c r="N16" s="50">
        <v>14</v>
      </c>
      <c r="O16" s="50">
        <v>14</v>
      </c>
      <c r="P16" s="50">
        <v>14</v>
      </c>
      <c r="Q16" s="50">
        <v>14</v>
      </c>
      <c r="R16" s="50">
        <v>14</v>
      </c>
      <c r="S16" s="50">
        <v>14</v>
      </c>
      <c r="T16" s="50">
        <v>14</v>
      </c>
      <c r="U16" s="50">
        <v>14</v>
      </c>
      <c r="V16" s="50">
        <v>14</v>
      </c>
      <c r="W16" s="50">
        <v>14</v>
      </c>
      <c r="X16" s="50">
        <v>14</v>
      </c>
      <c r="Y16" s="50">
        <v>14</v>
      </c>
      <c r="Z16" s="50">
        <v>14</v>
      </c>
      <c r="AA16" s="50">
        <v>14</v>
      </c>
      <c r="AB16" s="50">
        <v>14</v>
      </c>
      <c r="AC16" s="50">
        <v>14</v>
      </c>
      <c r="AD16" s="50">
        <v>14</v>
      </c>
      <c r="AE16" s="50">
        <v>14</v>
      </c>
      <c r="AF16" s="50">
        <v>14</v>
      </c>
      <c r="AG16" s="55">
        <v>36</v>
      </c>
      <c r="AH16" s="52">
        <f t="shared" si="2"/>
        <v>14</v>
      </c>
      <c r="AI16" s="53">
        <f t="shared" si="3"/>
        <v>14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8.6</v>
      </c>
      <c r="C18" s="50">
        <v>8.6</v>
      </c>
      <c r="D18" s="50">
        <v>8.6</v>
      </c>
      <c r="E18" s="50">
        <v>8.6</v>
      </c>
      <c r="F18" s="50">
        <v>8.6</v>
      </c>
      <c r="G18" s="50">
        <v>8.5</v>
      </c>
      <c r="H18" s="50">
        <v>8.5</v>
      </c>
      <c r="I18" s="50">
        <v>8.5</v>
      </c>
      <c r="J18" s="50">
        <v>8.5</v>
      </c>
      <c r="K18" s="50">
        <v>8.5</v>
      </c>
      <c r="L18" s="50">
        <v>8.5</v>
      </c>
      <c r="M18" s="50">
        <v>8.5</v>
      </c>
      <c r="N18" s="50">
        <v>8.5</v>
      </c>
      <c r="O18" s="50">
        <v>8.5</v>
      </c>
      <c r="P18" s="50">
        <v>8.3000000000000007</v>
      </c>
      <c r="Q18" s="50">
        <v>8.3000000000000007</v>
      </c>
      <c r="R18" s="50">
        <v>8.3000000000000007</v>
      </c>
      <c r="S18" s="50">
        <v>8.3000000000000007</v>
      </c>
      <c r="T18" s="50">
        <v>8.3000000000000007</v>
      </c>
      <c r="U18" s="50">
        <v>8.3000000000000007</v>
      </c>
      <c r="V18" s="50">
        <v>8.3000000000000007</v>
      </c>
      <c r="W18" s="50">
        <v>8.3000000000000007</v>
      </c>
      <c r="X18" s="50">
        <v>8.3000000000000007</v>
      </c>
      <c r="Y18" s="50">
        <v>8.3000000000000007</v>
      </c>
      <c r="Z18" s="50">
        <v>8.3000000000000007</v>
      </c>
      <c r="AA18" s="50">
        <v>8.3000000000000007</v>
      </c>
      <c r="AB18" s="50">
        <v>8.3000000000000007</v>
      </c>
      <c r="AC18" s="50">
        <v>8.3000000000000007</v>
      </c>
      <c r="AD18" s="50">
        <v>8.3000000000000007</v>
      </c>
      <c r="AE18" s="50">
        <v>8.3000000000000007</v>
      </c>
      <c r="AF18" s="50">
        <v>8.3000000000000007</v>
      </c>
      <c r="AG18" s="56">
        <v>30</v>
      </c>
      <c r="AH18" s="52">
        <f t="shared" si="2"/>
        <v>8.6</v>
      </c>
      <c r="AI18" s="53">
        <f t="shared" si="3"/>
        <v>8.3000000000000007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6.6</v>
      </c>
      <c r="C19" s="50">
        <v>6.6</v>
      </c>
      <c r="D19" s="50">
        <v>6.6</v>
      </c>
      <c r="E19" s="50">
        <v>6.6</v>
      </c>
      <c r="F19" s="50">
        <v>6.6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6.6</v>
      </c>
      <c r="N19" s="50">
        <v>6.6</v>
      </c>
      <c r="O19" s="50">
        <v>6.6</v>
      </c>
      <c r="P19" s="50">
        <v>6.6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6.6</v>
      </c>
      <c r="AA19" s="50">
        <v>6.6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6.6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11</v>
      </c>
      <c r="C20" s="50">
        <v>11</v>
      </c>
      <c r="D20" s="50">
        <v>11</v>
      </c>
      <c r="E20" s="50">
        <v>11</v>
      </c>
      <c r="F20" s="50">
        <v>11</v>
      </c>
      <c r="G20" s="50">
        <v>11</v>
      </c>
      <c r="H20" s="50">
        <v>11</v>
      </c>
      <c r="I20" s="50">
        <v>11</v>
      </c>
      <c r="J20" s="50">
        <v>11</v>
      </c>
      <c r="K20" s="50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55">
        <v>28</v>
      </c>
      <c r="AH20" s="52">
        <f t="shared" si="2"/>
        <v>11</v>
      </c>
      <c r="AI20" s="53">
        <f t="shared" si="3"/>
        <v>11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6.5</v>
      </c>
      <c r="C21" s="50">
        <v>6.5</v>
      </c>
      <c r="D21" s="50">
        <v>6.5</v>
      </c>
      <c r="E21" s="50">
        <v>6.5</v>
      </c>
      <c r="F21" s="50">
        <v>6.5</v>
      </c>
      <c r="G21" s="50">
        <v>6.5</v>
      </c>
      <c r="H21" s="50">
        <v>6.5</v>
      </c>
      <c r="I21" s="50">
        <v>6.5</v>
      </c>
      <c r="J21" s="50">
        <v>6.5</v>
      </c>
      <c r="K21" s="50">
        <v>6.5</v>
      </c>
      <c r="L21" s="50">
        <v>6.5</v>
      </c>
      <c r="M21" s="50">
        <v>6.5</v>
      </c>
      <c r="N21" s="50">
        <v>6.5</v>
      </c>
      <c r="O21" s="50">
        <v>6.5</v>
      </c>
      <c r="P21" s="50">
        <v>6.5</v>
      </c>
      <c r="Q21" s="50">
        <v>6.5</v>
      </c>
      <c r="R21" s="50">
        <v>6.5</v>
      </c>
      <c r="S21" s="50">
        <v>6.5</v>
      </c>
      <c r="T21" s="50">
        <v>6.5</v>
      </c>
      <c r="U21" s="50">
        <v>6.5</v>
      </c>
      <c r="V21" s="50">
        <v>6.5</v>
      </c>
      <c r="W21" s="50">
        <v>6.5</v>
      </c>
      <c r="X21" s="50">
        <v>6.5</v>
      </c>
      <c r="Y21" s="50">
        <v>6.5</v>
      </c>
      <c r="Z21" s="50">
        <v>6.5</v>
      </c>
      <c r="AA21" s="50">
        <v>6.5</v>
      </c>
      <c r="AB21" s="50">
        <v>6.5</v>
      </c>
      <c r="AC21" s="50">
        <v>6.5</v>
      </c>
      <c r="AD21" s="50">
        <v>6.5</v>
      </c>
      <c r="AE21" s="50">
        <v>6.5</v>
      </c>
      <c r="AF21" s="50">
        <v>6.5</v>
      </c>
      <c r="AG21" s="56">
        <v>30</v>
      </c>
      <c r="AH21" s="52">
        <f t="shared" si="2"/>
        <v>6.5</v>
      </c>
      <c r="AI21" s="53">
        <f t="shared" si="3"/>
        <v>6.5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9</v>
      </c>
      <c r="C22" s="50">
        <v>9</v>
      </c>
      <c r="D22" s="50">
        <v>9</v>
      </c>
      <c r="E22" s="50">
        <v>9</v>
      </c>
      <c r="F22" s="50">
        <v>9</v>
      </c>
      <c r="G22" s="50">
        <v>9</v>
      </c>
      <c r="H22" s="50">
        <v>9</v>
      </c>
      <c r="I22" s="50">
        <v>9</v>
      </c>
      <c r="J22" s="50">
        <v>9</v>
      </c>
      <c r="K22" s="50">
        <v>9</v>
      </c>
      <c r="L22" s="50">
        <v>9</v>
      </c>
      <c r="M22" s="50">
        <v>9</v>
      </c>
      <c r="N22" s="50">
        <v>9</v>
      </c>
      <c r="O22" s="50">
        <v>9</v>
      </c>
      <c r="P22" s="50">
        <v>9</v>
      </c>
      <c r="Q22" s="50">
        <v>9</v>
      </c>
      <c r="R22" s="50">
        <v>9</v>
      </c>
      <c r="S22" s="50">
        <v>9</v>
      </c>
      <c r="T22" s="50">
        <v>9</v>
      </c>
      <c r="U22" s="50">
        <v>9</v>
      </c>
      <c r="V22" s="50">
        <v>9</v>
      </c>
      <c r="W22" s="50">
        <v>9</v>
      </c>
      <c r="X22" s="50">
        <v>9</v>
      </c>
      <c r="Y22" s="50">
        <v>9</v>
      </c>
      <c r="Z22" s="50">
        <v>9</v>
      </c>
      <c r="AA22" s="50">
        <v>9</v>
      </c>
      <c r="AB22" s="50">
        <v>9</v>
      </c>
      <c r="AC22" s="50">
        <v>9</v>
      </c>
      <c r="AD22" s="50">
        <v>9</v>
      </c>
      <c r="AE22" s="50">
        <v>9</v>
      </c>
      <c r="AF22" s="50">
        <v>9</v>
      </c>
      <c r="AG22" s="55">
        <v>25</v>
      </c>
      <c r="AH22" s="52">
        <f t="shared" si="2"/>
        <v>9</v>
      </c>
      <c r="AI22" s="53">
        <f t="shared" si="3"/>
        <v>9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5">
        <v>25</v>
      </c>
      <c r="AH23" s="52">
        <f t="shared" si="2"/>
        <v>0</v>
      </c>
      <c r="AI23" s="53">
        <f t="shared" si="3"/>
        <v>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6.8</v>
      </c>
      <c r="C26" s="50">
        <v>6.8</v>
      </c>
      <c r="D26" s="50">
        <v>6.8</v>
      </c>
      <c r="E26" s="50">
        <v>6.8</v>
      </c>
      <c r="F26" s="50">
        <v>6.8</v>
      </c>
      <c r="G26" s="50">
        <v>6.8</v>
      </c>
      <c r="H26" s="50">
        <v>6.8</v>
      </c>
      <c r="I26" s="50">
        <v>6.8</v>
      </c>
      <c r="J26" s="50">
        <v>6.8</v>
      </c>
      <c r="K26" s="50">
        <v>6.8</v>
      </c>
      <c r="L26" s="50">
        <v>6.8</v>
      </c>
      <c r="M26" s="50">
        <v>6.8</v>
      </c>
      <c r="N26" s="50">
        <v>6.8</v>
      </c>
      <c r="O26" s="50">
        <v>6.8</v>
      </c>
      <c r="P26" s="50">
        <v>6</v>
      </c>
      <c r="Q26" s="50">
        <v>6</v>
      </c>
      <c r="R26" s="50">
        <v>6</v>
      </c>
      <c r="S26" s="50">
        <v>6</v>
      </c>
      <c r="T26" s="50">
        <v>6</v>
      </c>
      <c r="U26" s="50">
        <v>6</v>
      </c>
      <c r="V26" s="50">
        <v>6</v>
      </c>
      <c r="W26" s="50">
        <v>6</v>
      </c>
      <c r="X26" s="50">
        <v>6</v>
      </c>
      <c r="Y26" s="50">
        <v>6</v>
      </c>
      <c r="Z26" s="50">
        <v>6</v>
      </c>
      <c r="AA26" s="50">
        <v>6</v>
      </c>
      <c r="AB26" s="50">
        <v>6</v>
      </c>
      <c r="AC26" s="50">
        <v>6</v>
      </c>
      <c r="AD26" s="50">
        <v>6</v>
      </c>
      <c r="AE26" s="50">
        <v>6</v>
      </c>
      <c r="AF26" s="50">
        <v>6</v>
      </c>
      <c r="AG26" s="55">
        <v>23.5</v>
      </c>
      <c r="AH26" s="52">
        <f t="shared" si="2"/>
        <v>6.8</v>
      </c>
      <c r="AI26" s="53">
        <f t="shared" si="3"/>
        <v>6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5">
        <v>22</v>
      </c>
      <c r="AH29" s="52">
        <f t="shared" si="2"/>
        <v>4</v>
      </c>
      <c r="AI29" s="53">
        <f t="shared" si="3"/>
        <v>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11</v>
      </c>
      <c r="C30" s="50">
        <v>11</v>
      </c>
      <c r="D30" s="50">
        <v>11</v>
      </c>
      <c r="E30" s="50">
        <v>11</v>
      </c>
      <c r="F30" s="50">
        <v>11</v>
      </c>
      <c r="G30" s="50">
        <v>11</v>
      </c>
      <c r="H30" s="50">
        <v>11</v>
      </c>
      <c r="I30" s="50">
        <v>11</v>
      </c>
      <c r="J30" s="50">
        <v>11</v>
      </c>
      <c r="K30" s="50">
        <v>11</v>
      </c>
      <c r="L30" s="50">
        <v>11</v>
      </c>
      <c r="M30" s="50">
        <v>11</v>
      </c>
      <c r="N30" s="50">
        <v>11</v>
      </c>
      <c r="O30" s="50">
        <v>11</v>
      </c>
      <c r="P30" s="50">
        <v>11</v>
      </c>
      <c r="Q30" s="50">
        <v>11</v>
      </c>
      <c r="R30" s="50">
        <v>11</v>
      </c>
      <c r="S30" s="50">
        <v>11</v>
      </c>
      <c r="T30" s="50">
        <v>11</v>
      </c>
      <c r="U30" s="50">
        <v>11</v>
      </c>
      <c r="V30" s="50">
        <v>11</v>
      </c>
      <c r="W30" s="50">
        <v>11</v>
      </c>
      <c r="X30" s="50">
        <v>11</v>
      </c>
      <c r="Y30" s="50">
        <v>11</v>
      </c>
      <c r="Z30" s="50">
        <v>11</v>
      </c>
      <c r="AA30" s="50">
        <v>11</v>
      </c>
      <c r="AB30" s="50">
        <v>11</v>
      </c>
      <c r="AC30" s="50">
        <v>11</v>
      </c>
      <c r="AD30" s="50">
        <v>11</v>
      </c>
      <c r="AE30" s="50">
        <v>11</v>
      </c>
      <c r="AF30" s="50">
        <v>11</v>
      </c>
      <c r="AG30" s="55">
        <v>22</v>
      </c>
      <c r="AH30" s="52">
        <f t="shared" si="2"/>
        <v>11</v>
      </c>
      <c r="AI30" s="53">
        <f t="shared" si="3"/>
        <v>11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55">
        <v>20</v>
      </c>
      <c r="AH31" s="52">
        <f t="shared" si="2"/>
        <v>6</v>
      </c>
      <c r="AI31" s="53">
        <f t="shared" si="3"/>
        <v>6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>
        <v>4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5.2</v>
      </c>
      <c r="C38" s="50">
        <v>5.2</v>
      </c>
      <c r="D38" s="50">
        <v>5.2</v>
      </c>
      <c r="E38" s="50">
        <v>5.2</v>
      </c>
      <c r="F38" s="50">
        <v>5.2</v>
      </c>
      <c r="G38" s="50">
        <v>5.2</v>
      </c>
      <c r="H38" s="50">
        <v>5.2</v>
      </c>
      <c r="I38" s="50">
        <v>5.2</v>
      </c>
      <c r="J38" s="50">
        <v>5.2</v>
      </c>
      <c r="K38" s="50">
        <v>5.2</v>
      </c>
      <c r="L38" s="50">
        <v>5.2</v>
      </c>
      <c r="M38" s="50">
        <v>5.2</v>
      </c>
      <c r="N38" s="50">
        <v>5.2</v>
      </c>
      <c r="O38" s="50">
        <v>5.2</v>
      </c>
      <c r="P38" s="50">
        <v>5.2</v>
      </c>
      <c r="Q38" s="50">
        <v>5.2</v>
      </c>
      <c r="R38" s="50">
        <v>5.2</v>
      </c>
      <c r="S38" s="50">
        <v>5.2</v>
      </c>
      <c r="T38" s="50">
        <v>5.2</v>
      </c>
      <c r="U38" s="50">
        <v>5.2</v>
      </c>
      <c r="V38" s="50">
        <v>5.2</v>
      </c>
      <c r="W38" s="50">
        <v>5.2</v>
      </c>
      <c r="X38" s="50">
        <v>5.2</v>
      </c>
      <c r="Y38" s="50">
        <v>5.2</v>
      </c>
      <c r="Z38" s="50">
        <v>5.2</v>
      </c>
      <c r="AA38" s="50">
        <v>5.2</v>
      </c>
      <c r="AB38" s="50">
        <v>5.2</v>
      </c>
      <c r="AC38" s="50">
        <v>5.2</v>
      </c>
      <c r="AD38" s="50">
        <v>5.2</v>
      </c>
      <c r="AE38" s="50">
        <v>5.2</v>
      </c>
      <c r="AF38" s="50">
        <v>5.2</v>
      </c>
      <c r="AG38" s="55">
        <v>12</v>
      </c>
      <c r="AH38" s="52">
        <f t="shared" si="2"/>
        <v>5.2</v>
      </c>
      <c r="AI38" s="53">
        <f t="shared" si="3"/>
        <v>5.2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50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3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120</v>
      </c>
      <c r="C46" s="63">
        <v>120</v>
      </c>
      <c r="D46" s="63">
        <v>120</v>
      </c>
      <c r="E46" s="63">
        <v>120</v>
      </c>
      <c r="F46" s="63">
        <v>120</v>
      </c>
      <c r="G46" s="63">
        <v>120</v>
      </c>
      <c r="H46" s="63">
        <v>120</v>
      </c>
      <c r="I46" s="63">
        <v>120</v>
      </c>
      <c r="J46" s="63">
        <v>120</v>
      </c>
      <c r="K46" s="63">
        <v>120</v>
      </c>
      <c r="L46" s="63">
        <v>120</v>
      </c>
      <c r="M46" s="63">
        <v>120</v>
      </c>
      <c r="N46" s="63">
        <v>120</v>
      </c>
      <c r="O46" s="63">
        <v>120</v>
      </c>
      <c r="P46" s="63">
        <v>120</v>
      </c>
      <c r="Q46" s="63">
        <v>120</v>
      </c>
      <c r="R46" s="63">
        <v>120</v>
      </c>
      <c r="S46" s="63">
        <v>120</v>
      </c>
      <c r="T46" s="63">
        <v>120</v>
      </c>
      <c r="U46" s="63">
        <v>120</v>
      </c>
      <c r="V46" s="63">
        <v>120</v>
      </c>
      <c r="W46" s="63">
        <v>120</v>
      </c>
      <c r="X46" s="63">
        <v>120</v>
      </c>
      <c r="Y46" s="63">
        <v>120</v>
      </c>
      <c r="Z46" s="63">
        <v>120</v>
      </c>
      <c r="AA46" s="63">
        <v>120</v>
      </c>
      <c r="AB46" s="63">
        <v>120</v>
      </c>
      <c r="AC46" s="63">
        <v>120</v>
      </c>
      <c r="AD46" s="63">
        <v>120</v>
      </c>
      <c r="AE46" s="63">
        <v>120</v>
      </c>
      <c r="AF46" s="63">
        <v>120</v>
      </c>
      <c r="AG46" s="61">
        <v>85</v>
      </c>
      <c r="AH46" s="52">
        <f t="shared" si="2"/>
        <v>120</v>
      </c>
      <c r="AI46" s="53">
        <f t="shared" si="3"/>
        <v>120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>SUM(B11:B46)</f>
        <v>378.7</v>
      </c>
      <c r="C48" s="67">
        <f t="shared" ref="C48:AF48" si="4">SUM(C11:C46)</f>
        <v>378.7</v>
      </c>
      <c r="D48" s="67">
        <f t="shared" si="4"/>
        <v>378.7</v>
      </c>
      <c r="E48" s="67">
        <f t="shared" si="4"/>
        <v>378.7</v>
      </c>
      <c r="F48" s="67">
        <f t="shared" si="4"/>
        <v>378.7</v>
      </c>
      <c r="G48" s="67">
        <f t="shared" si="4"/>
        <v>379.59999999999997</v>
      </c>
      <c r="H48" s="67">
        <f t="shared" si="4"/>
        <v>379.59999999999997</v>
      </c>
      <c r="I48" s="67">
        <f t="shared" si="4"/>
        <v>379.59999999999997</v>
      </c>
      <c r="J48" s="67">
        <f t="shared" si="4"/>
        <v>379.59999999999997</v>
      </c>
      <c r="K48" s="67">
        <f t="shared" si="4"/>
        <v>379.59999999999997</v>
      </c>
      <c r="L48" s="67">
        <f t="shared" si="4"/>
        <v>379.59999999999997</v>
      </c>
      <c r="M48" s="67">
        <f t="shared" si="4"/>
        <v>375.59999999999997</v>
      </c>
      <c r="N48" s="67">
        <f t="shared" si="4"/>
        <v>375.59999999999997</v>
      </c>
      <c r="O48" s="67">
        <f t="shared" si="4"/>
        <v>375.59999999999997</v>
      </c>
      <c r="P48" s="67">
        <f t="shared" ref="P48" si="5">SUM(P11:P46)</f>
        <v>373.69999999999993</v>
      </c>
      <c r="Q48" s="67">
        <f t="shared" si="4"/>
        <v>373.69999999999993</v>
      </c>
      <c r="R48" s="67">
        <f t="shared" si="4"/>
        <v>373.69999999999993</v>
      </c>
      <c r="S48" s="67">
        <f t="shared" ref="S48" si="6">SUM(S11:S46)</f>
        <v>377.69999999999993</v>
      </c>
      <c r="T48" s="67">
        <f t="shared" si="4"/>
        <v>377.69999999999993</v>
      </c>
      <c r="U48" s="67">
        <f t="shared" ref="U48:V48" si="7">SUM(U11:U46)</f>
        <v>377.69999999999993</v>
      </c>
      <c r="V48" s="67">
        <f t="shared" si="7"/>
        <v>377.69999999999993</v>
      </c>
      <c r="W48" s="67">
        <f t="shared" ref="W48:X48" si="8">SUM(W11:W46)</f>
        <v>377.69999999999993</v>
      </c>
      <c r="X48" s="67">
        <f t="shared" si="8"/>
        <v>377.69999999999993</v>
      </c>
      <c r="Y48" s="67">
        <f t="shared" si="4"/>
        <v>377.69999999999993</v>
      </c>
      <c r="Z48" s="67">
        <v>354.69999999999993</v>
      </c>
      <c r="AA48" s="67">
        <v>354.69999999999993</v>
      </c>
      <c r="AB48" s="67">
        <f t="shared" si="4"/>
        <v>377.69999999999993</v>
      </c>
      <c r="AC48" s="67">
        <f t="shared" si="4"/>
        <v>377.69999999999993</v>
      </c>
      <c r="AD48" s="67">
        <f t="shared" si="4"/>
        <v>377.69999999999993</v>
      </c>
      <c r="AE48" s="67">
        <f t="shared" si="4"/>
        <v>377.69999999999993</v>
      </c>
      <c r="AF48" s="67">
        <f t="shared" si="4"/>
        <v>377.69999999999993</v>
      </c>
      <c r="AG48" s="68">
        <f t="shared" ref="AG48" si="9">SUM(AG12:AG46)</f>
        <v>875.68</v>
      </c>
      <c r="AH48" s="52">
        <f t="shared" si="2"/>
        <v>379.59999999999997</v>
      </c>
      <c r="AI48" s="53">
        <f t="shared" si="3"/>
        <v>354.69999999999993</v>
      </c>
      <c r="AK48" s="54"/>
    </row>
    <row r="49" spans="1:41" x14ac:dyDescent="0.25">
      <c r="A49" s="69" t="s">
        <v>57</v>
      </c>
      <c r="B49" s="50">
        <v>41.6</v>
      </c>
      <c r="C49" s="50">
        <v>51.9</v>
      </c>
      <c r="D49" s="50">
        <v>20</v>
      </c>
      <c r="E49" s="50">
        <v>70</v>
      </c>
      <c r="F49" s="50">
        <v>55</v>
      </c>
      <c r="G49" s="50">
        <v>75</v>
      </c>
      <c r="H49" s="50">
        <v>75</v>
      </c>
      <c r="I49" s="50">
        <v>50</v>
      </c>
      <c r="J49" s="50">
        <v>15</v>
      </c>
      <c r="K49" s="50">
        <v>15</v>
      </c>
      <c r="L49" s="50">
        <v>65</v>
      </c>
      <c r="M49" s="50">
        <v>60</v>
      </c>
      <c r="N49" s="50">
        <v>0</v>
      </c>
      <c r="O49" s="50">
        <v>0</v>
      </c>
      <c r="P49" s="50">
        <v>0</v>
      </c>
      <c r="Q49" s="50">
        <v>0</v>
      </c>
      <c r="R49" s="50">
        <v>50</v>
      </c>
      <c r="S49" s="50">
        <v>50</v>
      </c>
      <c r="T49" s="50">
        <v>50</v>
      </c>
      <c r="U49" s="50">
        <v>50</v>
      </c>
      <c r="V49" s="50">
        <v>50</v>
      </c>
      <c r="W49" s="50">
        <v>20</v>
      </c>
      <c r="X49" s="50">
        <v>20</v>
      </c>
      <c r="Y49" s="50">
        <v>20</v>
      </c>
      <c r="Z49" s="50">
        <v>120</v>
      </c>
      <c r="AA49" s="50">
        <v>120</v>
      </c>
      <c r="AB49" s="50">
        <v>120</v>
      </c>
      <c r="AC49" s="50">
        <v>70</v>
      </c>
      <c r="AD49" s="50">
        <v>90</v>
      </c>
      <c r="AE49" s="50">
        <v>90</v>
      </c>
      <c r="AF49" s="50">
        <v>140</v>
      </c>
      <c r="AG49" s="56">
        <v>456</v>
      </c>
      <c r="AH49" s="52">
        <f t="shared" si="2"/>
        <v>140</v>
      </c>
      <c r="AI49" s="53">
        <f t="shared" si="3"/>
        <v>0</v>
      </c>
      <c r="AK49" s="54"/>
    </row>
    <row r="50" spans="1:41" x14ac:dyDescent="0.25">
      <c r="A50" s="71" t="s">
        <v>58</v>
      </c>
      <c r="B50" s="72">
        <v>30</v>
      </c>
      <c r="C50" s="72">
        <v>30</v>
      </c>
      <c r="D50" s="72">
        <v>30</v>
      </c>
      <c r="E50" s="72">
        <v>30</v>
      </c>
      <c r="F50" s="72">
        <v>30</v>
      </c>
      <c r="G50" s="72">
        <v>30</v>
      </c>
      <c r="H50" s="72">
        <v>30</v>
      </c>
      <c r="I50" s="72">
        <v>30</v>
      </c>
      <c r="J50" s="72">
        <v>30</v>
      </c>
      <c r="K50" s="72">
        <v>30</v>
      </c>
      <c r="L50" s="72">
        <v>30</v>
      </c>
      <c r="M50" s="72">
        <v>30</v>
      </c>
      <c r="N50" s="72">
        <v>30</v>
      </c>
      <c r="O50" s="72">
        <v>30</v>
      </c>
      <c r="P50" s="72">
        <v>30</v>
      </c>
      <c r="Q50" s="72">
        <v>30</v>
      </c>
      <c r="R50" s="72">
        <v>30</v>
      </c>
      <c r="S50" s="72">
        <v>30</v>
      </c>
      <c r="T50" s="72">
        <v>30</v>
      </c>
      <c r="U50" s="72">
        <v>30</v>
      </c>
      <c r="V50" s="72">
        <v>30</v>
      </c>
      <c r="W50" s="72">
        <v>30</v>
      </c>
      <c r="X50" s="72">
        <v>30</v>
      </c>
      <c r="Y50" s="72">
        <v>30</v>
      </c>
      <c r="Z50" s="72">
        <v>30</v>
      </c>
      <c r="AA50" s="72">
        <v>30</v>
      </c>
      <c r="AB50" s="72">
        <v>30</v>
      </c>
      <c r="AC50" s="72">
        <v>30</v>
      </c>
      <c r="AD50" s="72">
        <v>30</v>
      </c>
      <c r="AE50" s="72">
        <v>30</v>
      </c>
      <c r="AF50" s="72">
        <v>30</v>
      </c>
      <c r="AG50" s="61">
        <v>60</v>
      </c>
      <c r="AH50" s="52">
        <f t="shared" si="2"/>
        <v>30</v>
      </c>
      <c r="AI50" s="53">
        <f t="shared" si="3"/>
        <v>30</v>
      </c>
      <c r="AK50" s="54"/>
    </row>
    <row r="51" spans="1:41" ht="15.75" thickBot="1" x14ac:dyDescent="0.3">
      <c r="A51" s="73" t="s">
        <v>59</v>
      </c>
      <c r="B51" s="74">
        <v>10.1</v>
      </c>
      <c r="C51" s="74">
        <v>10.1</v>
      </c>
      <c r="D51" s="74">
        <v>10.1</v>
      </c>
      <c r="E51" s="74">
        <v>12</v>
      </c>
      <c r="F51" s="74">
        <v>12</v>
      </c>
      <c r="G51" s="74">
        <v>12</v>
      </c>
      <c r="H51" s="74">
        <v>11.9</v>
      </c>
      <c r="I51" s="74">
        <v>14.1</v>
      </c>
      <c r="J51" s="74">
        <v>14.2</v>
      </c>
      <c r="K51" s="74">
        <v>14.1</v>
      </c>
      <c r="L51" s="74">
        <v>14.1</v>
      </c>
      <c r="M51" s="74">
        <v>14.1</v>
      </c>
      <c r="N51" s="74">
        <v>14.1</v>
      </c>
      <c r="O51" s="74">
        <v>14.1</v>
      </c>
      <c r="P51" s="74">
        <v>10.1</v>
      </c>
      <c r="Q51" s="74">
        <v>10.1</v>
      </c>
      <c r="R51" s="74">
        <v>10.1</v>
      </c>
      <c r="S51" s="74">
        <v>10.1</v>
      </c>
      <c r="T51" s="74">
        <v>10.1</v>
      </c>
      <c r="U51" s="74">
        <v>10.1</v>
      </c>
      <c r="V51" s="74">
        <v>10.1</v>
      </c>
      <c r="W51" s="74">
        <v>10.1</v>
      </c>
      <c r="X51" s="74">
        <v>10.1</v>
      </c>
      <c r="Y51" s="74">
        <v>10.1</v>
      </c>
      <c r="Z51" s="74">
        <v>10.1</v>
      </c>
      <c r="AA51" s="74">
        <v>10.1</v>
      </c>
      <c r="AB51" s="74">
        <v>10.199999999999999</v>
      </c>
      <c r="AC51" s="74">
        <v>10.199999999999999</v>
      </c>
      <c r="AD51" s="74">
        <v>10.199999999999999</v>
      </c>
      <c r="AE51" s="74">
        <v>10.199999999999999</v>
      </c>
      <c r="AF51" s="74">
        <v>10.199999999999999</v>
      </c>
      <c r="AG51" s="75">
        <v>22.1</v>
      </c>
      <c r="AH51" s="52">
        <f t="shared" si="2"/>
        <v>14.2</v>
      </c>
      <c r="AI51" s="53">
        <f t="shared" si="3"/>
        <v>10.1</v>
      </c>
      <c r="AK51" s="54"/>
    </row>
    <row r="52" spans="1:41" ht="15.75" thickBot="1" x14ac:dyDescent="0.3">
      <c r="A52" s="76" t="s">
        <v>60</v>
      </c>
      <c r="B52" s="67">
        <f t="shared" ref="B52:AG52" si="10">SUM(B49:B51)</f>
        <v>81.699999999999989</v>
      </c>
      <c r="C52" s="67">
        <f t="shared" si="10"/>
        <v>92</v>
      </c>
      <c r="D52" s="67">
        <f t="shared" si="10"/>
        <v>60.1</v>
      </c>
      <c r="E52" s="67">
        <f t="shared" si="10"/>
        <v>112</v>
      </c>
      <c r="F52" s="67">
        <f t="shared" si="10"/>
        <v>97</v>
      </c>
      <c r="G52" s="67">
        <f t="shared" si="10"/>
        <v>117</v>
      </c>
      <c r="H52" s="67">
        <f t="shared" si="10"/>
        <v>116.9</v>
      </c>
      <c r="I52" s="67">
        <f t="shared" si="10"/>
        <v>94.1</v>
      </c>
      <c r="J52" s="67">
        <f t="shared" si="10"/>
        <v>59.2</v>
      </c>
      <c r="K52" s="67">
        <f t="shared" si="10"/>
        <v>59.1</v>
      </c>
      <c r="L52" s="67">
        <f t="shared" si="10"/>
        <v>109.1</v>
      </c>
      <c r="M52" s="67">
        <f t="shared" si="10"/>
        <v>104.1</v>
      </c>
      <c r="N52" s="67">
        <f t="shared" si="10"/>
        <v>44.1</v>
      </c>
      <c r="O52" s="67">
        <f t="shared" si="10"/>
        <v>44.1</v>
      </c>
      <c r="P52" s="67">
        <f t="shared" ref="P52" si="11">SUM(P49:P51)</f>
        <v>40.1</v>
      </c>
      <c r="Q52" s="67">
        <f t="shared" si="10"/>
        <v>40.1</v>
      </c>
      <c r="R52" s="67">
        <f t="shared" si="10"/>
        <v>90.1</v>
      </c>
      <c r="S52" s="67">
        <f t="shared" ref="S52" si="12">SUM(S49:S51)</f>
        <v>90.1</v>
      </c>
      <c r="T52" s="67">
        <f t="shared" si="10"/>
        <v>90.1</v>
      </c>
      <c r="U52" s="67">
        <f t="shared" ref="U52:V52" si="13">SUM(U49:U51)</f>
        <v>90.1</v>
      </c>
      <c r="V52" s="67">
        <f t="shared" si="13"/>
        <v>90.1</v>
      </c>
      <c r="W52" s="67">
        <f t="shared" si="10"/>
        <v>60.1</v>
      </c>
      <c r="X52" s="67">
        <f t="shared" ref="X52" si="14">SUM(X49:X51)</f>
        <v>60.1</v>
      </c>
      <c r="Y52" s="67">
        <f t="shared" si="10"/>
        <v>60.1</v>
      </c>
      <c r="Z52" s="67">
        <v>160.1</v>
      </c>
      <c r="AA52" s="67">
        <v>160.1</v>
      </c>
      <c r="AB52" s="67">
        <f t="shared" si="10"/>
        <v>160.19999999999999</v>
      </c>
      <c r="AC52" s="67">
        <f t="shared" si="10"/>
        <v>110.2</v>
      </c>
      <c r="AD52" s="67">
        <f t="shared" si="10"/>
        <v>130.19999999999999</v>
      </c>
      <c r="AE52" s="67">
        <f t="shared" si="10"/>
        <v>130.19999999999999</v>
      </c>
      <c r="AF52" s="67">
        <f t="shared" si="10"/>
        <v>180.2</v>
      </c>
      <c r="AG52" s="68">
        <f t="shared" si="10"/>
        <v>538.1</v>
      </c>
      <c r="AH52" s="52">
        <f t="shared" si="2"/>
        <v>180.2</v>
      </c>
      <c r="AI52" s="53">
        <f t="shared" si="3"/>
        <v>40.1</v>
      </c>
      <c r="AK52" s="54"/>
    </row>
    <row r="53" spans="1:41" x14ac:dyDescent="0.25">
      <c r="A53" s="49" t="s">
        <v>61</v>
      </c>
      <c r="B53" s="50">
        <v>45.5</v>
      </c>
      <c r="C53" s="50">
        <v>45.7</v>
      </c>
      <c r="D53" s="50">
        <v>40.299999999999997</v>
      </c>
      <c r="E53" s="50">
        <v>40.5</v>
      </c>
      <c r="F53" s="50">
        <v>40.5</v>
      </c>
      <c r="G53" s="50">
        <v>48.8</v>
      </c>
      <c r="H53" s="50">
        <v>62.3</v>
      </c>
      <c r="I53" s="50">
        <v>46.4</v>
      </c>
      <c r="J53" s="50">
        <v>46</v>
      </c>
      <c r="K53" s="50">
        <v>44.4</v>
      </c>
      <c r="L53" s="50">
        <v>48.5</v>
      </c>
      <c r="M53" s="50">
        <v>35.5</v>
      </c>
      <c r="N53" s="50">
        <v>35.5</v>
      </c>
      <c r="O53" s="50">
        <v>35.5</v>
      </c>
      <c r="P53" s="50">
        <v>35.700000000000003</v>
      </c>
      <c r="Q53" s="50">
        <v>62.4</v>
      </c>
      <c r="R53" s="50">
        <v>81.2</v>
      </c>
      <c r="S53" s="50">
        <v>97.2</v>
      </c>
      <c r="T53" s="50">
        <v>97.2</v>
      </c>
      <c r="U53" s="50">
        <v>97.2</v>
      </c>
      <c r="V53" s="50">
        <v>97.2</v>
      </c>
      <c r="W53" s="50">
        <v>52</v>
      </c>
      <c r="X53" s="50">
        <v>65.900000000000006</v>
      </c>
      <c r="Y53" s="50">
        <v>66.099999999999994</v>
      </c>
      <c r="Z53" s="50">
        <v>97.5</v>
      </c>
      <c r="AA53" s="50">
        <v>97.5</v>
      </c>
      <c r="AB53" s="50">
        <v>80</v>
      </c>
      <c r="AC53" s="50">
        <v>46.5</v>
      </c>
      <c r="AD53" s="50">
        <v>46.5</v>
      </c>
      <c r="AE53" s="50">
        <v>30</v>
      </c>
      <c r="AF53" s="50">
        <v>30</v>
      </c>
      <c r="AG53" s="56">
        <v>144</v>
      </c>
      <c r="AH53" s="52">
        <f t="shared" si="2"/>
        <v>97.5</v>
      </c>
      <c r="AI53" s="53">
        <f t="shared" si="3"/>
        <v>30</v>
      </c>
      <c r="AK53" s="54"/>
    </row>
    <row r="54" spans="1:41" x14ac:dyDescent="0.25">
      <c r="A54" s="60" t="s">
        <v>62</v>
      </c>
      <c r="B54" s="72">
        <v>35.299999999999997</v>
      </c>
      <c r="C54" s="72">
        <v>25.9</v>
      </c>
      <c r="D54" s="72">
        <v>25.6</v>
      </c>
      <c r="E54" s="72">
        <v>30.8</v>
      </c>
      <c r="F54" s="72">
        <v>23.8</v>
      </c>
      <c r="G54" s="72">
        <v>30.9</v>
      </c>
      <c r="H54" s="72">
        <v>36</v>
      </c>
      <c r="I54" s="72">
        <v>24.6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  <c r="Q54" s="72">
        <v>47</v>
      </c>
      <c r="R54" s="72">
        <v>68.599999999999994</v>
      </c>
      <c r="S54" s="72">
        <v>67.599999999999994</v>
      </c>
      <c r="T54" s="72">
        <v>66</v>
      </c>
      <c r="U54" s="72">
        <v>66</v>
      </c>
      <c r="V54" s="72">
        <v>64.599999999999994</v>
      </c>
      <c r="W54" s="72">
        <v>24</v>
      </c>
      <c r="X54" s="72">
        <v>23.8</v>
      </c>
      <c r="Y54" s="72">
        <v>23.8</v>
      </c>
      <c r="Z54" s="50">
        <v>33</v>
      </c>
      <c r="AA54" s="50">
        <v>33</v>
      </c>
      <c r="AB54" s="72">
        <v>24</v>
      </c>
      <c r="AC54" s="72">
        <v>25.5</v>
      </c>
      <c r="AD54" s="72">
        <v>25.5</v>
      </c>
      <c r="AE54" s="72">
        <v>25.2</v>
      </c>
      <c r="AF54" s="72">
        <v>0</v>
      </c>
      <c r="AG54" s="61">
        <v>70</v>
      </c>
      <c r="AH54" s="52">
        <f t="shared" si="2"/>
        <v>68.599999999999994</v>
      </c>
      <c r="AI54" s="53">
        <f t="shared" si="3"/>
        <v>0</v>
      </c>
      <c r="AK54" s="54"/>
    </row>
    <row r="55" spans="1:41" x14ac:dyDescent="0.25">
      <c r="A55" s="60" t="s">
        <v>63</v>
      </c>
      <c r="B55" s="72">
        <v>20.74</v>
      </c>
      <c r="C55" s="72">
        <v>22.3</v>
      </c>
      <c r="D55" s="72">
        <v>21.8</v>
      </c>
      <c r="E55" s="72">
        <v>45.3</v>
      </c>
      <c r="F55" s="72">
        <v>36</v>
      </c>
      <c r="G55" s="72">
        <v>45.1</v>
      </c>
      <c r="H55" s="72">
        <v>68.2</v>
      </c>
      <c r="I55" s="72">
        <v>21.2</v>
      </c>
      <c r="J55" s="72">
        <v>0</v>
      </c>
      <c r="K55" s="72">
        <v>22.4</v>
      </c>
      <c r="L55" s="72">
        <v>22.2</v>
      </c>
      <c r="M55" s="72">
        <v>41.7</v>
      </c>
      <c r="N55" s="72">
        <v>17</v>
      </c>
      <c r="O55" s="72">
        <v>17</v>
      </c>
      <c r="P55" s="72">
        <v>22.7</v>
      </c>
      <c r="Q55" s="72">
        <v>22.7</v>
      </c>
      <c r="R55" s="72">
        <v>35.700000000000003</v>
      </c>
      <c r="S55" s="72">
        <v>45.9</v>
      </c>
      <c r="T55" s="72">
        <v>45.6</v>
      </c>
      <c r="U55" s="72">
        <v>42</v>
      </c>
      <c r="V55" s="72">
        <v>23</v>
      </c>
      <c r="W55" s="72">
        <v>0</v>
      </c>
      <c r="X55" s="72">
        <v>0</v>
      </c>
      <c r="Y55" s="72">
        <v>0</v>
      </c>
      <c r="Z55" s="50">
        <v>46</v>
      </c>
      <c r="AA55" s="50">
        <v>46</v>
      </c>
      <c r="AB55" s="72">
        <v>43.8</v>
      </c>
      <c r="AC55" s="72">
        <v>46.4</v>
      </c>
      <c r="AD55" s="72">
        <v>36.9</v>
      </c>
      <c r="AE55" s="72">
        <v>37.200000000000003</v>
      </c>
      <c r="AF55" s="72">
        <v>40.299999999999997</v>
      </c>
      <c r="AG55" s="61">
        <v>69</v>
      </c>
      <c r="AH55" s="52">
        <f t="shared" si="2"/>
        <v>68.2</v>
      </c>
      <c r="AI55" s="53">
        <f t="shared" si="3"/>
        <v>0</v>
      </c>
      <c r="AK55" s="54"/>
    </row>
    <row r="56" spans="1:41" x14ac:dyDescent="0.25">
      <c r="A56" s="60" t="s">
        <v>64</v>
      </c>
      <c r="B56" s="72">
        <v>36.299999999999997</v>
      </c>
      <c r="C56" s="72">
        <v>36.5</v>
      </c>
      <c r="D56" s="72">
        <v>36.5</v>
      </c>
      <c r="E56" s="63">
        <v>38.299999999999997</v>
      </c>
      <c r="F56" s="63">
        <v>38.299999999999997</v>
      </c>
      <c r="G56" s="63">
        <v>39.799999999999997</v>
      </c>
      <c r="H56" s="63">
        <v>40.1</v>
      </c>
      <c r="I56" s="63">
        <v>40.1</v>
      </c>
      <c r="J56" s="63">
        <v>40.1</v>
      </c>
      <c r="K56" s="63">
        <v>39.299999999999997</v>
      </c>
      <c r="L56" s="63">
        <v>39.299999999999997</v>
      </c>
      <c r="M56" s="63">
        <v>38.299999999999997</v>
      </c>
      <c r="N56" s="63">
        <v>38.299999999999997</v>
      </c>
      <c r="O56" s="63">
        <v>38.299999999999997</v>
      </c>
      <c r="P56" s="63">
        <v>38.299999999999997</v>
      </c>
      <c r="Q56" s="63">
        <v>36</v>
      </c>
      <c r="R56" s="63">
        <v>36</v>
      </c>
      <c r="S56" s="63">
        <v>36</v>
      </c>
      <c r="T56" s="63">
        <v>36</v>
      </c>
      <c r="U56" s="63">
        <v>36</v>
      </c>
      <c r="V56" s="63">
        <v>36</v>
      </c>
      <c r="W56" s="63">
        <v>36.299999999999997</v>
      </c>
      <c r="X56" s="63">
        <v>36.299999999999997</v>
      </c>
      <c r="Y56" s="63">
        <v>36.299999999999997</v>
      </c>
      <c r="Z56" s="50">
        <v>36.299999999999997</v>
      </c>
      <c r="AA56" s="50">
        <v>36.299999999999997</v>
      </c>
      <c r="AB56" s="72">
        <v>36.299999999999997</v>
      </c>
      <c r="AC56" s="72">
        <v>36.299999999999997</v>
      </c>
      <c r="AD56" s="72">
        <v>36.299999999999997</v>
      </c>
      <c r="AE56" s="72">
        <v>36.5</v>
      </c>
      <c r="AF56" s="72">
        <v>36.5</v>
      </c>
      <c r="AG56" s="61">
        <v>60</v>
      </c>
      <c r="AH56" s="52">
        <f t="shared" si="2"/>
        <v>40.1</v>
      </c>
      <c r="AI56" s="53">
        <f t="shared" si="3"/>
        <v>36</v>
      </c>
      <c r="AK56" s="54"/>
    </row>
    <row r="57" spans="1:41" x14ac:dyDescent="0.25">
      <c r="A57" s="60" t="s">
        <v>65</v>
      </c>
      <c r="B57" s="72">
        <v>0</v>
      </c>
      <c r="C57" s="72">
        <v>0</v>
      </c>
      <c r="D57" s="72">
        <v>0</v>
      </c>
      <c r="E57" s="72">
        <v>0</v>
      </c>
      <c r="F57" s="63">
        <v>10</v>
      </c>
      <c r="G57" s="63">
        <v>10</v>
      </c>
      <c r="H57" s="63">
        <v>10</v>
      </c>
      <c r="I57" s="63">
        <v>10</v>
      </c>
      <c r="J57" s="63">
        <v>10</v>
      </c>
      <c r="K57" s="63">
        <v>10.1</v>
      </c>
      <c r="L57" s="63">
        <v>10.1</v>
      </c>
      <c r="M57" s="63">
        <v>15</v>
      </c>
      <c r="N57" s="63">
        <v>15</v>
      </c>
      <c r="O57" s="63">
        <v>15</v>
      </c>
      <c r="P57" s="63">
        <v>12.2</v>
      </c>
      <c r="Q57" s="63">
        <v>12.2</v>
      </c>
      <c r="R57" s="63">
        <v>10</v>
      </c>
      <c r="S57" s="63">
        <v>0</v>
      </c>
      <c r="T57" s="63">
        <v>0</v>
      </c>
      <c r="U57" s="63">
        <v>0</v>
      </c>
      <c r="V57" s="63">
        <v>0</v>
      </c>
      <c r="W57" s="63">
        <v>10</v>
      </c>
      <c r="X57" s="63">
        <v>10</v>
      </c>
      <c r="Y57" s="63">
        <v>10</v>
      </c>
      <c r="Z57" s="50">
        <v>10</v>
      </c>
      <c r="AA57" s="50">
        <v>10</v>
      </c>
      <c r="AB57" s="50">
        <v>10</v>
      </c>
      <c r="AC57" s="50">
        <v>0</v>
      </c>
      <c r="AD57" s="50">
        <v>0</v>
      </c>
      <c r="AE57" s="50">
        <v>0</v>
      </c>
      <c r="AF57" s="50">
        <v>12.1</v>
      </c>
      <c r="AG57" s="61">
        <v>30</v>
      </c>
      <c r="AH57" s="52">
        <f t="shared" si="2"/>
        <v>15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50">
        <v>0</v>
      </c>
      <c r="I58" s="50">
        <v>0</v>
      </c>
      <c r="J58" s="50">
        <v>0</v>
      </c>
      <c r="K58" s="50">
        <v>2.1</v>
      </c>
      <c r="L58" s="50">
        <v>4.5999999999999996</v>
      </c>
      <c r="M58" s="50">
        <v>4.5999999999999996</v>
      </c>
      <c r="N58" s="50">
        <v>4.5999999999999996</v>
      </c>
      <c r="O58" s="50">
        <v>4.5999999999999996</v>
      </c>
      <c r="P58" s="50">
        <v>8.9</v>
      </c>
      <c r="Q58" s="50">
        <v>8.9</v>
      </c>
      <c r="R58" s="50">
        <v>8.9</v>
      </c>
      <c r="S58" s="50">
        <v>8.9</v>
      </c>
      <c r="T58" s="50">
        <v>8.9</v>
      </c>
      <c r="U58" s="50">
        <v>8.9</v>
      </c>
      <c r="V58" s="50">
        <v>8.9</v>
      </c>
      <c r="W58" s="50">
        <v>8.9</v>
      </c>
      <c r="X58" s="50">
        <v>8.9</v>
      </c>
      <c r="Y58" s="50">
        <v>8.9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8.9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11</v>
      </c>
      <c r="C59" s="72">
        <v>11</v>
      </c>
      <c r="D59" s="72">
        <v>11</v>
      </c>
      <c r="E59" s="72">
        <v>11</v>
      </c>
      <c r="F59" s="72">
        <v>11</v>
      </c>
      <c r="G59" s="72">
        <v>11</v>
      </c>
      <c r="H59" s="72">
        <v>13</v>
      </c>
      <c r="I59" s="72">
        <v>13</v>
      </c>
      <c r="J59" s="72">
        <v>13</v>
      </c>
      <c r="K59" s="72">
        <v>13</v>
      </c>
      <c r="L59" s="72">
        <v>15.5</v>
      </c>
      <c r="M59" s="72">
        <v>15.5</v>
      </c>
      <c r="N59" s="72">
        <v>15.5</v>
      </c>
      <c r="O59" s="72">
        <v>15.5</v>
      </c>
      <c r="P59" s="72">
        <v>15.5</v>
      </c>
      <c r="Q59" s="72">
        <v>15.5</v>
      </c>
      <c r="R59" s="72">
        <v>15.5</v>
      </c>
      <c r="S59" s="72">
        <v>15.5</v>
      </c>
      <c r="T59" s="72">
        <v>15.5</v>
      </c>
      <c r="U59" s="72">
        <v>15.5</v>
      </c>
      <c r="V59" s="72">
        <v>15.5</v>
      </c>
      <c r="W59" s="72">
        <v>15.5</v>
      </c>
      <c r="X59" s="72">
        <v>15.5</v>
      </c>
      <c r="Y59" s="72">
        <v>15.5</v>
      </c>
      <c r="Z59" s="72">
        <v>15.5</v>
      </c>
      <c r="AA59" s="72">
        <v>15.5</v>
      </c>
      <c r="AB59" s="72">
        <v>15.5</v>
      </c>
      <c r="AC59" s="72">
        <v>15.5</v>
      </c>
      <c r="AD59" s="72">
        <v>15.5</v>
      </c>
      <c r="AE59" s="72">
        <v>15.5</v>
      </c>
      <c r="AF59" s="72">
        <v>15.5</v>
      </c>
      <c r="AG59" s="61">
        <v>24</v>
      </c>
      <c r="AH59" s="52">
        <f t="shared" si="2"/>
        <v>15.5</v>
      </c>
      <c r="AI59" s="53">
        <f t="shared" si="3"/>
        <v>11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9.4</v>
      </c>
      <c r="C61" s="72">
        <v>9.4</v>
      </c>
      <c r="D61" s="72">
        <v>9.4</v>
      </c>
      <c r="E61" s="72">
        <v>9.4</v>
      </c>
      <c r="F61" s="72">
        <v>9.4</v>
      </c>
      <c r="G61" s="72">
        <v>9.4</v>
      </c>
      <c r="H61" s="72">
        <v>9.4</v>
      </c>
      <c r="I61" s="72">
        <v>9.4</v>
      </c>
      <c r="J61" s="72">
        <v>9.4</v>
      </c>
      <c r="K61" s="72">
        <v>9.4</v>
      </c>
      <c r="L61" s="72">
        <v>9.4</v>
      </c>
      <c r="M61" s="72">
        <v>9.4</v>
      </c>
      <c r="N61" s="72">
        <v>9.4</v>
      </c>
      <c r="O61" s="72">
        <v>9.4</v>
      </c>
      <c r="P61" s="72">
        <v>9.9</v>
      </c>
      <c r="Q61" s="72">
        <v>9.9</v>
      </c>
      <c r="R61" s="72">
        <v>9.9</v>
      </c>
      <c r="S61" s="72">
        <v>9.9</v>
      </c>
      <c r="T61" s="72">
        <v>9.9</v>
      </c>
      <c r="U61" s="72">
        <v>9.9</v>
      </c>
      <c r="V61" s="72">
        <v>9.9</v>
      </c>
      <c r="W61" s="72">
        <v>9.9</v>
      </c>
      <c r="X61" s="72">
        <v>9.9</v>
      </c>
      <c r="Y61" s="72">
        <v>9.9</v>
      </c>
      <c r="Z61" s="72">
        <v>9.9</v>
      </c>
      <c r="AA61" s="72">
        <v>9.9</v>
      </c>
      <c r="AB61" s="72">
        <v>9.9</v>
      </c>
      <c r="AC61" s="72">
        <v>9.9</v>
      </c>
      <c r="AD61" s="72">
        <v>9.9</v>
      </c>
      <c r="AE61" s="72">
        <v>9.9</v>
      </c>
      <c r="AF61" s="72">
        <v>9.9</v>
      </c>
      <c r="AG61" s="61">
        <v>14.1</v>
      </c>
      <c r="AH61" s="52">
        <f t="shared" si="2"/>
        <v>9.9</v>
      </c>
      <c r="AI61" s="53">
        <f t="shared" si="3"/>
        <v>9.4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5.2</v>
      </c>
      <c r="C62" s="72">
        <v>5.2</v>
      </c>
      <c r="D62" s="72">
        <v>5.2</v>
      </c>
      <c r="E62" s="72">
        <v>5.2</v>
      </c>
      <c r="F62" s="72">
        <v>5.2</v>
      </c>
      <c r="G62" s="72">
        <v>5.2</v>
      </c>
      <c r="H62" s="72">
        <v>5.2</v>
      </c>
      <c r="I62" s="72">
        <v>5.2</v>
      </c>
      <c r="J62" s="72">
        <v>5.2</v>
      </c>
      <c r="K62" s="72">
        <v>5.2</v>
      </c>
      <c r="L62" s="72">
        <v>5.2</v>
      </c>
      <c r="M62" s="72">
        <v>5.2</v>
      </c>
      <c r="N62" s="72">
        <v>5.2</v>
      </c>
      <c r="O62" s="72">
        <v>5.2</v>
      </c>
      <c r="P62" s="72">
        <v>5.5</v>
      </c>
      <c r="Q62" s="72">
        <v>5.5</v>
      </c>
      <c r="R62" s="72">
        <v>5.5</v>
      </c>
      <c r="S62" s="72">
        <v>5.5</v>
      </c>
      <c r="T62" s="72">
        <v>5.5</v>
      </c>
      <c r="U62" s="72">
        <v>5.5</v>
      </c>
      <c r="V62" s="72">
        <v>5.5</v>
      </c>
      <c r="W62" s="72">
        <v>5.5</v>
      </c>
      <c r="X62" s="72">
        <v>5.5</v>
      </c>
      <c r="Y62" s="72">
        <v>5.5</v>
      </c>
      <c r="Z62" s="72">
        <v>5.5</v>
      </c>
      <c r="AA62" s="72">
        <v>5.5</v>
      </c>
      <c r="AB62" s="72">
        <v>5.5</v>
      </c>
      <c r="AC62" s="72">
        <v>5.5</v>
      </c>
      <c r="AD62" s="72">
        <v>5.5</v>
      </c>
      <c r="AE62" s="72">
        <v>5.5</v>
      </c>
      <c r="AF62" s="72">
        <v>5.5</v>
      </c>
      <c r="AG62" s="61">
        <v>14</v>
      </c>
      <c r="AH62" s="52">
        <f t="shared" si="2"/>
        <v>5.5</v>
      </c>
      <c r="AI62" s="53">
        <f t="shared" si="3"/>
        <v>5.2</v>
      </c>
      <c r="AK62" s="54"/>
    </row>
    <row r="63" spans="1:41" x14ac:dyDescent="0.25">
      <c r="A63" s="60" t="s">
        <v>71</v>
      </c>
      <c r="B63" s="72">
        <v>3</v>
      </c>
      <c r="C63" s="72">
        <v>3</v>
      </c>
      <c r="D63" s="72">
        <v>3</v>
      </c>
      <c r="E63" s="72">
        <v>3</v>
      </c>
      <c r="F63" s="72">
        <v>3</v>
      </c>
      <c r="G63" s="72">
        <v>3</v>
      </c>
      <c r="H63" s="72">
        <v>3</v>
      </c>
      <c r="I63" s="72">
        <v>3</v>
      </c>
      <c r="J63" s="72">
        <v>3</v>
      </c>
      <c r="K63" s="72">
        <v>3</v>
      </c>
      <c r="L63" s="72">
        <v>3</v>
      </c>
      <c r="M63" s="72">
        <v>3</v>
      </c>
      <c r="N63" s="72">
        <v>3</v>
      </c>
      <c r="O63" s="72">
        <v>3</v>
      </c>
      <c r="P63" s="72">
        <v>3</v>
      </c>
      <c r="Q63" s="72">
        <v>3</v>
      </c>
      <c r="R63" s="72">
        <v>3</v>
      </c>
      <c r="S63" s="72">
        <v>3</v>
      </c>
      <c r="T63" s="72">
        <v>3</v>
      </c>
      <c r="U63" s="72">
        <v>3</v>
      </c>
      <c r="V63" s="72">
        <v>3</v>
      </c>
      <c r="W63" s="72">
        <v>3</v>
      </c>
      <c r="X63" s="72">
        <v>3</v>
      </c>
      <c r="Y63" s="72">
        <v>3</v>
      </c>
      <c r="Z63" s="72">
        <v>3</v>
      </c>
      <c r="AA63" s="72">
        <v>3</v>
      </c>
      <c r="AB63" s="72">
        <v>3</v>
      </c>
      <c r="AC63" s="72">
        <v>3</v>
      </c>
      <c r="AD63" s="72">
        <v>3</v>
      </c>
      <c r="AE63" s="72">
        <v>3</v>
      </c>
      <c r="AF63" s="72">
        <v>3</v>
      </c>
      <c r="AG63" s="61">
        <v>10.050000000000001</v>
      </c>
      <c r="AH63" s="52">
        <f t="shared" si="2"/>
        <v>3</v>
      </c>
      <c r="AI63" s="53">
        <f t="shared" si="3"/>
        <v>3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:AG66" si="15">SUM(B53:B65)</f>
        <v>171.97999999999996</v>
      </c>
      <c r="C66" s="67">
        <f t="shared" si="15"/>
        <v>164.53999999999996</v>
      </c>
      <c r="D66" s="67">
        <f t="shared" si="15"/>
        <v>158.33999999999997</v>
      </c>
      <c r="E66" s="67">
        <f t="shared" si="15"/>
        <v>189.03999999999996</v>
      </c>
      <c r="F66" s="67">
        <f t="shared" si="15"/>
        <v>182.73999999999998</v>
      </c>
      <c r="G66" s="67">
        <f t="shared" si="15"/>
        <v>208.73999999999995</v>
      </c>
      <c r="H66" s="67">
        <f t="shared" si="15"/>
        <v>252.73999999999998</v>
      </c>
      <c r="I66" s="67">
        <f t="shared" si="15"/>
        <v>178.44</v>
      </c>
      <c r="J66" s="67">
        <f t="shared" si="15"/>
        <v>132.23999999999998</v>
      </c>
      <c r="K66" s="67">
        <f t="shared" si="15"/>
        <v>154.43999999999997</v>
      </c>
      <c r="L66" s="67">
        <f t="shared" si="15"/>
        <v>163.33999999999997</v>
      </c>
      <c r="M66" s="67">
        <f t="shared" si="15"/>
        <v>173.73999999999998</v>
      </c>
      <c r="N66" s="67">
        <f t="shared" si="15"/>
        <v>149.03999999999996</v>
      </c>
      <c r="O66" s="67">
        <f t="shared" si="15"/>
        <v>149.03999999999996</v>
      </c>
      <c r="P66" s="67">
        <f t="shared" ref="P66" si="16">SUM(P53:P65)</f>
        <v>157.24</v>
      </c>
      <c r="Q66" s="67">
        <f t="shared" si="15"/>
        <v>228.64</v>
      </c>
      <c r="R66" s="67">
        <f t="shared" si="15"/>
        <v>279.84000000000003</v>
      </c>
      <c r="S66" s="67">
        <f t="shared" ref="S66" si="17">SUM(S53:S65)</f>
        <v>295.04000000000002</v>
      </c>
      <c r="T66" s="67">
        <f t="shared" si="15"/>
        <v>293.14</v>
      </c>
      <c r="U66" s="67">
        <f t="shared" ref="U66:V66" si="18">SUM(U53:U65)</f>
        <v>289.54000000000002</v>
      </c>
      <c r="V66" s="67">
        <f t="shared" si="18"/>
        <v>269.14000000000004</v>
      </c>
      <c r="W66" s="67">
        <f t="shared" si="15"/>
        <v>170.64</v>
      </c>
      <c r="X66" s="67">
        <f t="shared" ref="X66" si="19">SUM(X53:X65)</f>
        <v>184.34</v>
      </c>
      <c r="Y66" s="67">
        <f t="shared" si="15"/>
        <v>184.54</v>
      </c>
      <c r="Z66" s="67">
        <f t="shared" si="15"/>
        <v>262.24000000000007</v>
      </c>
      <c r="AA66" s="67">
        <f t="shared" si="15"/>
        <v>262.24000000000007</v>
      </c>
      <c r="AB66" s="67">
        <f t="shared" si="15"/>
        <v>233.54000000000002</v>
      </c>
      <c r="AC66" s="67">
        <f t="shared" si="15"/>
        <v>194.14</v>
      </c>
      <c r="AD66" s="67">
        <f t="shared" si="15"/>
        <v>184.64</v>
      </c>
      <c r="AE66" s="67">
        <f t="shared" si="15"/>
        <v>168.34</v>
      </c>
      <c r="AF66" s="67">
        <f t="shared" si="15"/>
        <v>158.33999999999997</v>
      </c>
      <c r="AG66" s="68">
        <f t="shared" si="15"/>
        <v>489.91</v>
      </c>
      <c r="AH66" s="52">
        <f t="shared" si="2"/>
        <v>295.04000000000002</v>
      </c>
      <c r="AI66" s="53">
        <f t="shared" si="3"/>
        <v>132.23999999999998</v>
      </c>
      <c r="AK66" s="54"/>
    </row>
    <row r="67" spans="1:40" x14ac:dyDescent="0.25">
      <c r="A67" s="49" t="s">
        <v>75</v>
      </c>
      <c r="B67" s="50">
        <v>58.5</v>
      </c>
      <c r="C67" s="50">
        <v>58.5</v>
      </c>
      <c r="D67" s="50">
        <v>58.5</v>
      </c>
      <c r="E67" s="50">
        <v>40</v>
      </c>
      <c r="F67" s="50">
        <v>40</v>
      </c>
      <c r="G67" s="50">
        <v>40</v>
      </c>
      <c r="H67" s="50">
        <v>40</v>
      </c>
      <c r="I67" s="50">
        <v>40</v>
      </c>
      <c r="J67" s="50">
        <v>40</v>
      </c>
      <c r="K67" s="50">
        <v>40</v>
      </c>
      <c r="L67" s="50">
        <v>40</v>
      </c>
      <c r="M67" s="50">
        <v>40</v>
      </c>
      <c r="N67" s="50">
        <v>40</v>
      </c>
      <c r="O67" s="50">
        <v>40</v>
      </c>
      <c r="P67" s="50">
        <v>40</v>
      </c>
      <c r="Q67" s="50">
        <v>40</v>
      </c>
      <c r="R67" s="50">
        <v>58.5</v>
      </c>
      <c r="S67" s="50">
        <v>58.5</v>
      </c>
      <c r="T67" s="50">
        <v>58.5</v>
      </c>
      <c r="U67" s="50">
        <v>58.5</v>
      </c>
      <c r="V67" s="50">
        <v>58.5</v>
      </c>
      <c r="W67" s="50">
        <v>58.5</v>
      </c>
      <c r="X67" s="50">
        <v>58.5</v>
      </c>
      <c r="Y67" s="50">
        <v>58.5</v>
      </c>
      <c r="Z67" s="50">
        <v>58.5</v>
      </c>
      <c r="AA67" s="50">
        <v>58.5</v>
      </c>
      <c r="AB67" s="50">
        <v>58.5</v>
      </c>
      <c r="AC67" s="50">
        <v>60</v>
      </c>
      <c r="AD67" s="50">
        <v>60</v>
      </c>
      <c r="AE67" s="50">
        <v>60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40</v>
      </c>
      <c r="AK67" s="54"/>
    </row>
    <row r="68" spans="1:40" x14ac:dyDescent="0.25">
      <c r="A68" s="60" t="s">
        <v>76</v>
      </c>
      <c r="B68" s="72">
        <v>29</v>
      </c>
      <c r="C68" s="72">
        <v>29</v>
      </c>
      <c r="D68" s="72">
        <v>29</v>
      </c>
      <c r="E68" s="72">
        <v>17.8</v>
      </c>
      <c r="F68" s="72">
        <v>16.7</v>
      </c>
      <c r="G68" s="72">
        <v>16.2</v>
      </c>
      <c r="H68" s="72">
        <v>16.100000000000001</v>
      </c>
      <c r="I68" s="72">
        <v>16.399999999999999</v>
      </c>
      <c r="J68" s="72">
        <v>16.5</v>
      </c>
      <c r="K68" s="72">
        <v>16.399999999999999</v>
      </c>
      <c r="L68" s="72">
        <v>16.5</v>
      </c>
      <c r="M68" s="72">
        <v>16.5</v>
      </c>
      <c r="N68" s="72">
        <v>16.5</v>
      </c>
      <c r="O68" s="72">
        <v>16.5</v>
      </c>
      <c r="P68" s="72">
        <v>16.5</v>
      </c>
      <c r="Q68" s="72">
        <v>16.5</v>
      </c>
      <c r="R68" s="50">
        <v>28.5</v>
      </c>
      <c r="S68" s="50">
        <v>28.5</v>
      </c>
      <c r="T68" s="50">
        <v>28.5</v>
      </c>
      <c r="U68" s="50">
        <v>28.5</v>
      </c>
      <c r="V68" s="50">
        <v>28.5</v>
      </c>
      <c r="W68" s="50">
        <v>28.5</v>
      </c>
      <c r="X68" s="50">
        <v>28.5</v>
      </c>
      <c r="Y68" s="50">
        <v>28.5</v>
      </c>
      <c r="Z68" s="72">
        <v>28.5</v>
      </c>
      <c r="AA68" s="72">
        <v>28.5</v>
      </c>
      <c r="AB68" s="72">
        <v>28.5</v>
      </c>
      <c r="AC68" s="72">
        <v>28.5</v>
      </c>
      <c r="AD68" s="72">
        <v>28.6</v>
      </c>
      <c r="AE68" s="72">
        <v>15</v>
      </c>
      <c r="AF68" s="72">
        <v>15</v>
      </c>
      <c r="AG68" s="61">
        <v>32</v>
      </c>
      <c r="AH68" s="52">
        <f t="shared" si="2"/>
        <v>29</v>
      </c>
      <c r="AI68" s="53">
        <f t="shared" si="3"/>
        <v>15</v>
      </c>
      <c r="AK68" s="54"/>
    </row>
    <row r="69" spans="1:40" ht="15.75" thickBot="1" x14ac:dyDescent="0.3">
      <c r="A69" s="78" t="s">
        <v>77</v>
      </c>
      <c r="B69" s="74">
        <v>11</v>
      </c>
      <c r="C69" s="74">
        <v>11</v>
      </c>
      <c r="D69" s="74">
        <v>11</v>
      </c>
      <c r="E69" s="74">
        <v>7</v>
      </c>
      <c r="F69" s="74">
        <v>7</v>
      </c>
      <c r="G69" s="74">
        <v>7</v>
      </c>
      <c r="H69" s="74">
        <v>7</v>
      </c>
      <c r="I69" s="74">
        <v>7</v>
      </c>
      <c r="J69" s="74">
        <v>6</v>
      </c>
      <c r="K69" s="74">
        <v>6</v>
      </c>
      <c r="L69" s="74">
        <v>6</v>
      </c>
      <c r="M69" s="74">
        <v>6</v>
      </c>
      <c r="N69" s="74">
        <v>6</v>
      </c>
      <c r="O69" s="74">
        <v>6</v>
      </c>
      <c r="P69" s="74">
        <v>6</v>
      </c>
      <c r="Q69" s="74">
        <v>6</v>
      </c>
      <c r="R69" s="50">
        <v>10.4</v>
      </c>
      <c r="S69" s="50">
        <v>10.4</v>
      </c>
      <c r="T69" s="50">
        <v>10.4</v>
      </c>
      <c r="U69" s="50">
        <v>10.4</v>
      </c>
      <c r="V69" s="50">
        <v>10.4</v>
      </c>
      <c r="W69" s="50">
        <v>10.4</v>
      </c>
      <c r="X69" s="50">
        <v>10.4</v>
      </c>
      <c r="Y69" s="50">
        <v>10.4</v>
      </c>
      <c r="Z69" s="74">
        <v>10.4</v>
      </c>
      <c r="AA69" s="74">
        <v>10.4</v>
      </c>
      <c r="AB69" s="74">
        <v>10.4</v>
      </c>
      <c r="AC69" s="74">
        <v>10.4</v>
      </c>
      <c r="AD69" s="74">
        <v>10.5</v>
      </c>
      <c r="AE69" s="74">
        <v>5.5</v>
      </c>
      <c r="AF69" s="74">
        <v>5.5</v>
      </c>
      <c r="AG69" s="75">
        <v>14</v>
      </c>
      <c r="AH69" s="52">
        <f t="shared" si="2"/>
        <v>11</v>
      </c>
      <c r="AI69" s="53">
        <f t="shared" si="3"/>
        <v>5.5</v>
      </c>
      <c r="AK69" s="54"/>
    </row>
    <row r="70" spans="1:40" ht="15.75" thickBot="1" x14ac:dyDescent="0.3">
      <c r="A70" s="81" t="s">
        <v>78</v>
      </c>
      <c r="B70" s="67">
        <f>B67+B68+B69</f>
        <v>98.5</v>
      </c>
      <c r="C70" s="67">
        <f t="shared" ref="C70:D70" si="20">C67+C68+C69</f>
        <v>98.5</v>
      </c>
      <c r="D70" s="67">
        <f t="shared" si="20"/>
        <v>98.5</v>
      </c>
      <c r="E70" s="67">
        <f t="shared" ref="E70" si="21">E67+E68+E69</f>
        <v>64.8</v>
      </c>
      <c r="F70" s="67">
        <f t="shared" ref="F70" si="22">F67+F68+F69</f>
        <v>63.7</v>
      </c>
      <c r="G70" s="67">
        <f t="shared" ref="G70" si="23">G67+G68+G69</f>
        <v>63.2</v>
      </c>
      <c r="H70" s="67">
        <f t="shared" ref="H70" si="24">H67+H68+H69</f>
        <v>63.1</v>
      </c>
      <c r="I70" s="67">
        <f t="shared" ref="I70" si="25">I67+I68+I69</f>
        <v>63.4</v>
      </c>
      <c r="J70" s="67">
        <f t="shared" ref="J70" si="26">J67+J68+J69</f>
        <v>62.5</v>
      </c>
      <c r="K70" s="67">
        <f t="shared" ref="K70" si="27">K67+K68+K69</f>
        <v>62.4</v>
      </c>
      <c r="L70" s="67">
        <f t="shared" ref="L70" si="28">L67+L68+L69</f>
        <v>62.5</v>
      </c>
      <c r="M70" s="67">
        <f t="shared" ref="M70:AF70" si="29">M67+M68+M69</f>
        <v>62.5</v>
      </c>
      <c r="N70" s="67">
        <f t="shared" si="29"/>
        <v>62.5</v>
      </c>
      <c r="O70" s="67">
        <f t="shared" si="29"/>
        <v>62.5</v>
      </c>
      <c r="P70" s="67">
        <f t="shared" ref="P70" si="30">P67+P68+P69</f>
        <v>62.5</v>
      </c>
      <c r="Q70" s="67">
        <f t="shared" si="29"/>
        <v>62.5</v>
      </c>
      <c r="R70" s="67">
        <f t="shared" si="29"/>
        <v>97.4</v>
      </c>
      <c r="S70" s="67">
        <f t="shared" si="29"/>
        <v>97.4</v>
      </c>
      <c r="T70" s="67">
        <f t="shared" si="29"/>
        <v>97.4</v>
      </c>
      <c r="U70" s="67">
        <f t="shared" ref="U70:V70" si="31">U67+U68+U69</f>
        <v>97.4</v>
      </c>
      <c r="V70" s="67">
        <f t="shared" si="31"/>
        <v>97.4</v>
      </c>
      <c r="W70" s="67">
        <f t="shared" ref="W70:X70" si="32">W67+W68+W69</f>
        <v>97.4</v>
      </c>
      <c r="X70" s="67">
        <f t="shared" si="32"/>
        <v>97.4</v>
      </c>
      <c r="Y70" s="67">
        <f t="shared" si="29"/>
        <v>97.4</v>
      </c>
      <c r="Z70" s="67">
        <v>97.4</v>
      </c>
      <c r="AA70" s="67">
        <v>97.4</v>
      </c>
      <c r="AB70" s="67">
        <f t="shared" si="29"/>
        <v>97.4</v>
      </c>
      <c r="AC70" s="67">
        <f t="shared" si="29"/>
        <v>98.9</v>
      </c>
      <c r="AD70" s="67">
        <f t="shared" si="29"/>
        <v>99.1</v>
      </c>
      <c r="AE70" s="67">
        <f t="shared" si="29"/>
        <v>80.5</v>
      </c>
      <c r="AF70" s="67">
        <f t="shared" si="29"/>
        <v>80.5</v>
      </c>
      <c r="AG70" s="68">
        <f>SUM(AG67:AG69)</f>
        <v>106</v>
      </c>
      <c r="AH70" s="52">
        <f t="shared" si="2"/>
        <v>99.1</v>
      </c>
      <c r="AI70" s="53">
        <f t="shared" si="3"/>
        <v>62.4</v>
      </c>
      <c r="AK70" s="54"/>
    </row>
    <row r="71" spans="1:40" x14ac:dyDescent="0.25">
      <c r="A71" s="49" t="s">
        <v>79</v>
      </c>
      <c r="B71" s="50">
        <v>69</v>
      </c>
      <c r="C71" s="50">
        <v>66</v>
      </c>
      <c r="D71" s="50">
        <v>70.2</v>
      </c>
      <c r="E71" s="50">
        <v>73.3</v>
      </c>
      <c r="F71" s="50">
        <v>73.900000000000006</v>
      </c>
      <c r="G71" s="50">
        <v>70.099999999999994</v>
      </c>
      <c r="H71" s="50">
        <v>70.900000000000006</v>
      </c>
      <c r="I71" s="50">
        <v>68</v>
      </c>
      <c r="J71" s="50">
        <v>69.8</v>
      </c>
      <c r="K71" s="50">
        <v>70.5</v>
      </c>
      <c r="L71" s="50">
        <v>71.900000000000006</v>
      </c>
      <c r="M71" s="50">
        <v>71</v>
      </c>
      <c r="N71" s="50">
        <v>70</v>
      </c>
      <c r="O71" s="50">
        <v>75</v>
      </c>
      <c r="P71" s="50">
        <v>76.2</v>
      </c>
      <c r="Q71" s="50">
        <v>67.5</v>
      </c>
      <c r="R71" s="50">
        <v>69.599999999999994</v>
      </c>
      <c r="S71" s="50">
        <v>63.8</v>
      </c>
      <c r="T71" s="50">
        <v>66</v>
      </c>
      <c r="U71" s="50">
        <v>66</v>
      </c>
      <c r="V71" s="50">
        <v>66</v>
      </c>
      <c r="W71" s="50">
        <v>63.7</v>
      </c>
      <c r="X71" s="50">
        <v>63.4</v>
      </c>
      <c r="Y71" s="50">
        <v>63.3</v>
      </c>
      <c r="Z71" s="50">
        <v>66</v>
      </c>
      <c r="AA71" s="50">
        <v>60</v>
      </c>
      <c r="AB71" s="50">
        <v>63</v>
      </c>
      <c r="AC71" s="50">
        <v>78</v>
      </c>
      <c r="AD71" s="50">
        <v>67</v>
      </c>
      <c r="AE71" s="50">
        <v>77.099999999999994</v>
      </c>
      <c r="AF71" s="50">
        <v>72</v>
      </c>
      <c r="AG71" s="56"/>
      <c r="AH71" s="52">
        <f t="shared" si="2"/>
        <v>78</v>
      </c>
      <c r="AI71" s="53">
        <f t="shared" si="3"/>
        <v>60</v>
      </c>
      <c r="AK71" s="54"/>
    </row>
    <row r="72" spans="1:40" x14ac:dyDescent="0.25">
      <c r="A72" s="60" t="s">
        <v>80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432.5</v>
      </c>
      <c r="C73" s="72">
        <v>424</v>
      </c>
      <c r="D73" s="72">
        <v>458</v>
      </c>
      <c r="E73" s="72">
        <v>401</v>
      </c>
      <c r="F73" s="72">
        <v>394</v>
      </c>
      <c r="G73" s="72">
        <v>387.3</v>
      </c>
      <c r="H73" s="72">
        <v>390</v>
      </c>
      <c r="I73" s="72">
        <v>360</v>
      </c>
      <c r="J73" s="72">
        <v>387</v>
      </c>
      <c r="K73" s="72">
        <v>407.4</v>
      </c>
      <c r="L73" s="72">
        <v>413.4</v>
      </c>
      <c r="M73" s="72">
        <v>387</v>
      </c>
      <c r="N73" s="72">
        <v>446</v>
      </c>
      <c r="O73" s="72">
        <v>456</v>
      </c>
      <c r="P73" s="72">
        <v>476</v>
      </c>
      <c r="Q73" s="72">
        <v>440</v>
      </c>
      <c r="R73" s="72">
        <v>475</v>
      </c>
      <c r="S73" s="72">
        <v>475</v>
      </c>
      <c r="T73" s="72">
        <v>492</v>
      </c>
      <c r="U73" s="72">
        <v>492</v>
      </c>
      <c r="V73" s="72">
        <v>490</v>
      </c>
      <c r="W73" s="72">
        <v>450</v>
      </c>
      <c r="X73" s="72">
        <v>450</v>
      </c>
      <c r="Y73" s="72">
        <v>460</v>
      </c>
      <c r="Z73" s="72">
        <v>412</v>
      </c>
      <c r="AA73" s="72">
        <v>390</v>
      </c>
      <c r="AB73" s="72">
        <v>410</v>
      </c>
      <c r="AC73" s="72">
        <v>410</v>
      </c>
      <c r="AD73" s="72">
        <v>364</v>
      </c>
      <c r="AE73" s="72">
        <v>397</v>
      </c>
      <c r="AF73" s="72">
        <v>430</v>
      </c>
      <c r="AG73" s="82"/>
      <c r="AH73" s="52">
        <f t="shared" si="2"/>
        <v>492</v>
      </c>
      <c r="AI73" s="53">
        <f t="shared" si="3"/>
        <v>360</v>
      </c>
      <c r="AK73" s="54"/>
    </row>
    <row r="74" spans="1:40" x14ac:dyDescent="0.25">
      <c r="A74" s="60" t="s">
        <v>82</v>
      </c>
      <c r="B74" s="72">
        <v>67.900000000000006</v>
      </c>
      <c r="C74" s="72">
        <v>66</v>
      </c>
      <c r="D74" s="72">
        <v>55</v>
      </c>
      <c r="E74" s="83">
        <v>53.6</v>
      </c>
      <c r="F74" s="83">
        <v>54.5</v>
      </c>
      <c r="G74" s="83">
        <v>56.7</v>
      </c>
      <c r="H74" s="83">
        <v>56.2</v>
      </c>
      <c r="I74" s="83">
        <v>56.5</v>
      </c>
      <c r="J74" s="83">
        <v>46.2</v>
      </c>
      <c r="K74" s="83">
        <v>46.5</v>
      </c>
      <c r="L74" s="83">
        <v>45.9</v>
      </c>
      <c r="M74" s="83">
        <v>44</v>
      </c>
      <c r="N74" s="83">
        <v>51.4</v>
      </c>
      <c r="O74" s="83">
        <v>53</v>
      </c>
      <c r="P74" s="83">
        <v>70.599999999999994</v>
      </c>
      <c r="Q74" s="83">
        <v>70.599999999999994</v>
      </c>
      <c r="R74" s="83">
        <v>61.1</v>
      </c>
      <c r="S74" s="83">
        <v>61.1</v>
      </c>
      <c r="T74" s="83">
        <v>61.1</v>
      </c>
      <c r="U74" s="83">
        <v>61.1</v>
      </c>
      <c r="V74" s="83">
        <v>61.1</v>
      </c>
      <c r="W74" s="83">
        <v>61.1</v>
      </c>
      <c r="X74" s="83">
        <v>61.1</v>
      </c>
      <c r="Y74" s="72">
        <v>48.8</v>
      </c>
      <c r="Z74" s="72">
        <v>15</v>
      </c>
      <c r="AA74" s="72">
        <v>15</v>
      </c>
      <c r="AB74" s="72">
        <v>15</v>
      </c>
      <c r="AC74" s="72">
        <v>15</v>
      </c>
      <c r="AD74" s="72">
        <v>15</v>
      </c>
      <c r="AE74" s="72">
        <v>51.5</v>
      </c>
      <c r="AF74" s="72">
        <v>62.5</v>
      </c>
      <c r="AG74" s="82"/>
      <c r="AH74" s="52">
        <f t="shared" si="2"/>
        <v>70.599999999999994</v>
      </c>
      <c r="AI74" s="53">
        <f t="shared" si="3"/>
        <v>15</v>
      </c>
      <c r="AK74" s="54"/>
    </row>
    <row r="75" spans="1:40" x14ac:dyDescent="0.25">
      <c r="A75" s="60" t="s">
        <v>83</v>
      </c>
      <c r="B75" s="50">
        <v>27.6</v>
      </c>
      <c r="C75" s="50">
        <v>26.5</v>
      </c>
      <c r="D75" s="50">
        <v>26.5</v>
      </c>
      <c r="E75" s="50">
        <v>26.5</v>
      </c>
      <c r="F75" s="50">
        <v>25.6</v>
      </c>
      <c r="G75" s="50">
        <v>26.1</v>
      </c>
      <c r="H75" s="50">
        <v>22.7</v>
      </c>
      <c r="I75" s="50">
        <v>22</v>
      </c>
      <c r="J75" s="50">
        <v>66.599999999999994</v>
      </c>
      <c r="K75" s="50">
        <v>67.900000000000006</v>
      </c>
      <c r="L75" s="50">
        <v>68.7</v>
      </c>
      <c r="M75" s="50">
        <v>68.099999999999994</v>
      </c>
      <c r="N75" s="50">
        <v>72.5</v>
      </c>
      <c r="O75" s="50">
        <v>78.3</v>
      </c>
      <c r="P75" s="50">
        <v>79</v>
      </c>
      <c r="Q75" s="50">
        <v>15</v>
      </c>
      <c r="R75" s="50">
        <v>31.1</v>
      </c>
      <c r="S75" s="50">
        <v>31.1</v>
      </c>
      <c r="T75" s="50">
        <v>31.1</v>
      </c>
      <c r="U75" s="50">
        <v>31.1</v>
      </c>
      <c r="V75" s="50">
        <v>31.1</v>
      </c>
      <c r="W75" s="50">
        <v>31.1</v>
      </c>
      <c r="X75" s="50">
        <v>31.1</v>
      </c>
      <c r="Y75" s="50">
        <v>11.2</v>
      </c>
      <c r="Z75" s="50">
        <v>47</v>
      </c>
      <c r="AA75" s="50">
        <v>47</v>
      </c>
      <c r="AB75" s="50">
        <v>49.9</v>
      </c>
      <c r="AC75" s="50">
        <v>57.7</v>
      </c>
      <c r="AD75" s="50">
        <v>57.7</v>
      </c>
      <c r="AE75" s="50">
        <v>22</v>
      </c>
      <c r="AF75" s="50">
        <v>27.7</v>
      </c>
      <c r="AG75" s="82"/>
      <c r="AH75" s="52">
        <f t="shared" ref="AH75:AH117" si="33">MAX(B75:AF75)</f>
        <v>79</v>
      </c>
      <c r="AI75" s="53">
        <f t="shared" ref="AI75:AI117" si="34">MIN(B75:AF75)</f>
        <v>11.2</v>
      </c>
      <c r="AK75" s="54"/>
    </row>
    <row r="76" spans="1:40" x14ac:dyDescent="0.25">
      <c r="A76" s="60" t="s">
        <v>84</v>
      </c>
      <c r="B76" s="84">
        <v>7</v>
      </c>
      <c r="C76" s="84">
        <v>7</v>
      </c>
      <c r="D76" s="84">
        <v>7</v>
      </c>
      <c r="E76" s="84">
        <v>7</v>
      </c>
      <c r="F76" s="84">
        <v>7</v>
      </c>
      <c r="G76" s="84">
        <v>7</v>
      </c>
      <c r="H76" s="84">
        <v>7</v>
      </c>
      <c r="I76" s="84">
        <v>7</v>
      </c>
      <c r="J76" s="84">
        <v>7</v>
      </c>
      <c r="K76" s="84">
        <v>7</v>
      </c>
      <c r="L76" s="84">
        <v>7</v>
      </c>
      <c r="M76" s="84">
        <v>7</v>
      </c>
      <c r="N76" s="84">
        <v>7</v>
      </c>
      <c r="O76" s="84">
        <v>7</v>
      </c>
      <c r="P76" s="84">
        <v>7</v>
      </c>
      <c r="Q76" s="84">
        <v>7</v>
      </c>
      <c r="R76" s="84">
        <v>7</v>
      </c>
      <c r="S76" s="84">
        <v>7</v>
      </c>
      <c r="T76" s="84">
        <v>7</v>
      </c>
      <c r="U76" s="84">
        <v>7</v>
      </c>
      <c r="V76" s="84">
        <v>7</v>
      </c>
      <c r="W76" s="84">
        <v>7</v>
      </c>
      <c r="X76" s="84">
        <v>7</v>
      </c>
      <c r="Y76" s="84">
        <v>7</v>
      </c>
      <c r="Z76" s="84">
        <v>7</v>
      </c>
      <c r="AA76" s="84">
        <v>7</v>
      </c>
      <c r="AB76" s="84">
        <v>7</v>
      </c>
      <c r="AC76" s="84">
        <v>7</v>
      </c>
      <c r="AD76" s="84">
        <v>7</v>
      </c>
      <c r="AE76" s="84">
        <v>7</v>
      </c>
      <c r="AF76" s="84">
        <v>7</v>
      </c>
      <c r="AG76" s="82"/>
      <c r="AH76" s="52">
        <f t="shared" si="33"/>
        <v>7</v>
      </c>
      <c r="AI76" s="53">
        <f t="shared" si="34"/>
        <v>7</v>
      </c>
      <c r="AK76" s="54"/>
    </row>
    <row r="77" spans="1:40" ht="15.75" thickBot="1" x14ac:dyDescent="0.3">
      <c r="A77" s="60" t="s">
        <v>85</v>
      </c>
      <c r="B77" s="84">
        <v>5</v>
      </c>
      <c r="C77" s="84">
        <v>5</v>
      </c>
      <c r="D77" s="84">
        <v>5</v>
      </c>
      <c r="E77" s="84">
        <v>5</v>
      </c>
      <c r="F77" s="84">
        <v>5</v>
      </c>
      <c r="G77" s="84">
        <v>5</v>
      </c>
      <c r="H77" s="84">
        <v>5</v>
      </c>
      <c r="I77" s="84">
        <v>5</v>
      </c>
      <c r="J77" s="84">
        <v>5</v>
      </c>
      <c r="K77" s="84">
        <v>5</v>
      </c>
      <c r="L77" s="84">
        <v>5</v>
      </c>
      <c r="M77" s="84">
        <v>5</v>
      </c>
      <c r="N77" s="84">
        <v>5</v>
      </c>
      <c r="O77" s="84">
        <v>5</v>
      </c>
      <c r="P77" s="84">
        <v>5</v>
      </c>
      <c r="Q77" s="84">
        <v>5</v>
      </c>
      <c r="R77" s="84">
        <v>5</v>
      </c>
      <c r="S77" s="84">
        <v>5</v>
      </c>
      <c r="T77" s="84">
        <v>5</v>
      </c>
      <c r="U77" s="84">
        <v>5</v>
      </c>
      <c r="V77" s="84">
        <v>5</v>
      </c>
      <c r="W77" s="84">
        <v>5</v>
      </c>
      <c r="X77" s="84">
        <v>5</v>
      </c>
      <c r="Y77" s="84">
        <v>5</v>
      </c>
      <c r="Z77" s="84">
        <v>5</v>
      </c>
      <c r="AA77" s="84">
        <v>5</v>
      </c>
      <c r="AB77" s="84">
        <v>5</v>
      </c>
      <c r="AC77" s="84">
        <v>5</v>
      </c>
      <c r="AD77" s="84">
        <v>5</v>
      </c>
      <c r="AE77" s="84">
        <v>5</v>
      </c>
      <c r="AF77" s="84">
        <v>5</v>
      </c>
      <c r="AG77" s="82"/>
      <c r="AH77" s="52">
        <f t="shared" si="33"/>
        <v>5</v>
      </c>
      <c r="AI77" s="53">
        <f t="shared" si="34"/>
        <v>5</v>
      </c>
      <c r="AK77" s="54"/>
      <c r="AL77" s="85" t="s">
        <v>86</v>
      </c>
      <c r="AM77" s="85"/>
    </row>
    <row r="78" spans="1:40" x14ac:dyDescent="0.25">
      <c r="A78" s="60" t="s">
        <v>87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33"/>
        <v>0</v>
      </c>
      <c r="AI78" s="53">
        <f t="shared" si="34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>
        <v>5</v>
      </c>
      <c r="C79" s="84">
        <v>5</v>
      </c>
      <c r="D79" s="84">
        <v>5</v>
      </c>
      <c r="E79" s="84">
        <v>5</v>
      </c>
      <c r="F79" s="84">
        <v>5</v>
      </c>
      <c r="G79" s="84">
        <v>5</v>
      </c>
      <c r="H79" s="84">
        <v>5</v>
      </c>
      <c r="I79" s="84">
        <v>5</v>
      </c>
      <c r="J79" s="84">
        <v>5</v>
      </c>
      <c r="K79" s="84">
        <v>5</v>
      </c>
      <c r="L79" s="84">
        <v>5</v>
      </c>
      <c r="M79" s="84">
        <v>5</v>
      </c>
      <c r="N79" s="84">
        <v>5</v>
      </c>
      <c r="O79" s="84">
        <v>5</v>
      </c>
      <c r="P79" s="84">
        <v>5</v>
      </c>
      <c r="Q79" s="84">
        <v>5</v>
      </c>
      <c r="R79" s="84">
        <v>5</v>
      </c>
      <c r="S79" s="84">
        <v>5</v>
      </c>
      <c r="T79" s="84">
        <v>5</v>
      </c>
      <c r="U79" s="84">
        <v>5</v>
      </c>
      <c r="V79" s="84">
        <v>5</v>
      </c>
      <c r="W79" s="84">
        <v>5</v>
      </c>
      <c r="X79" s="84">
        <v>5</v>
      </c>
      <c r="Y79" s="84">
        <v>5</v>
      </c>
      <c r="Z79" s="84">
        <v>5</v>
      </c>
      <c r="AA79" s="84">
        <v>5</v>
      </c>
      <c r="AB79" s="84">
        <v>5</v>
      </c>
      <c r="AC79" s="84">
        <v>5</v>
      </c>
      <c r="AD79" s="84">
        <v>5</v>
      </c>
      <c r="AE79" s="84">
        <v>5</v>
      </c>
      <c r="AF79" s="84">
        <v>5</v>
      </c>
      <c r="AG79" s="82"/>
      <c r="AH79" s="52">
        <f t="shared" si="33"/>
        <v>5</v>
      </c>
      <c r="AI79" s="53">
        <f t="shared" si="34"/>
        <v>5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33"/>
        <v>0</v>
      </c>
      <c r="AI80" s="53">
        <f t="shared" si="34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33"/>
        <v>0</v>
      </c>
      <c r="AI81" s="53">
        <f t="shared" si="34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:AF82" si="35">SUMIF(B71:B81,"&gt;0")</f>
        <v>614</v>
      </c>
      <c r="C82" s="67">
        <f t="shared" si="35"/>
        <v>599.5</v>
      </c>
      <c r="D82" s="67">
        <f t="shared" si="35"/>
        <v>626.70000000000005</v>
      </c>
      <c r="E82" s="67">
        <f t="shared" si="35"/>
        <v>571.4</v>
      </c>
      <c r="F82" s="67">
        <f t="shared" si="35"/>
        <v>565</v>
      </c>
      <c r="G82" s="67">
        <f t="shared" si="35"/>
        <v>557.20000000000005</v>
      </c>
      <c r="H82" s="67">
        <f t="shared" si="35"/>
        <v>556.80000000000007</v>
      </c>
      <c r="I82" s="67">
        <f t="shared" si="35"/>
        <v>523.5</v>
      </c>
      <c r="J82" s="67">
        <f t="shared" si="35"/>
        <v>586.6</v>
      </c>
      <c r="K82" s="67">
        <f t="shared" si="35"/>
        <v>609.29999999999995</v>
      </c>
      <c r="L82" s="67">
        <f t="shared" si="35"/>
        <v>616.9</v>
      </c>
      <c r="M82" s="67">
        <f t="shared" si="35"/>
        <v>587.1</v>
      </c>
      <c r="N82" s="67">
        <f t="shared" si="35"/>
        <v>656.9</v>
      </c>
      <c r="O82" s="67">
        <f t="shared" si="35"/>
        <v>679.3</v>
      </c>
      <c r="P82" s="67">
        <f t="shared" si="35"/>
        <v>718.80000000000007</v>
      </c>
      <c r="Q82" s="67">
        <f t="shared" si="35"/>
        <v>610.1</v>
      </c>
      <c r="R82" s="67">
        <f t="shared" si="35"/>
        <v>653.80000000000007</v>
      </c>
      <c r="S82" s="67">
        <f t="shared" si="35"/>
        <v>648</v>
      </c>
      <c r="T82" s="67">
        <f t="shared" si="35"/>
        <v>667.2</v>
      </c>
      <c r="U82" s="67">
        <f t="shared" ref="U82:V82" si="36">SUMIF(U71:U81,"&gt;0")</f>
        <v>667.2</v>
      </c>
      <c r="V82" s="67">
        <f t="shared" si="36"/>
        <v>665.2</v>
      </c>
      <c r="W82" s="67">
        <f t="shared" si="35"/>
        <v>622.90000000000009</v>
      </c>
      <c r="X82" s="67">
        <f t="shared" ref="X82" si="37">SUMIF(X71:X81,"&gt;0")</f>
        <v>622.6</v>
      </c>
      <c r="Y82" s="67">
        <f t="shared" si="35"/>
        <v>600.29999999999995</v>
      </c>
      <c r="Z82" s="67">
        <f t="shared" si="35"/>
        <v>557</v>
      </c>
      <c r="AA82" s="67">
        <f t="shared" si="35"/>
        <v>529</v>
      </c>
      <c r="AB82" s="67">
        <f t="shared" si="35"/>
        <v>554.9</v>
      </c>
      <c r="AC82" s="67">
        <f t="shared" si="35"/>
        <v>577.70000000000005</v>
      </c>
      <c r="AD82" s="67">
        <f t="shared" si="35"/>
        <v>520.70000000000005</v>
      </c>
      <c r="AE82" s="67">
        <f t="shared" si="35"/>
        <v>564.6</v>
      </c>
      <c r="AF82" s="67">
        <f t="shared" si="35"/>
        <v>609.20000000000005</v>
      </c>
      <c r="AG82" s="95">
        <f>SUM(AG71:AG81)</f>
        <v>0</v>
      </c>
      <c r="AH82" s="52">
        <f t="shared" si="33"/>
        <v>718.80000000000007</v>
      </c>
      <c r="AI82" s="53">
        <f t="shared" si="34"/>
        <v>520.70000000000005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33"/>
        <v>0</v>
      </c>
      <c r="AI83" s="53">
        <f t="shared" si="34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33"/>
        <v>0</v>
      </c>
      <c r="AI84" s="53">
        <f t="shared" si="34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33"/>
        <v>0</v>
      </c>
      <c r="AI85" s="53">
        <f t="shared" si="34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>
        <v>0</v>
      </c>
      <c r="AA86" s="67">
        <v>0</v>
      </c>
      <c r="AB86" s="67"/>
      <c r="AC86" s="67"/>
      <c r="AD86" s="67"/>
      <c r="AE86" s="67"/>
      <c r="AF86" s="67"/>
      <c r="AG86" s="95">
        <f>SUM(AG83:AG85)</f>
        <v>55.4</v>
      </c>
      <c r="AH86" s="52">
        <f t="shared" si="33"/>
        <v>0</v>
      </c>
      <c r="AI86" s="53">
        <f t="shared" si="34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:AG87" si="38">B48+B52+B70+B66+B82+B86</f>
        <v>1344.8799999999999</v>
      </c>
      <c r="C87" s="102">
        <f t="shared" si="38"/>
        <v>1333.24</v>
      </c>
      <c r="D87" s="102">
        <f t="shared" si="38"/>
        <v>1322.34</v>
      </c>
      <c r="E87" s="102">
        <f t="shared" si="38"/>
        <v>1315.94</v>
      </c>
      <c r="F87" s="102">
        <f t="shared" si="38"/>
        <v>1287.1399999999999</v>
      </c>
      <c r="G87" s="102">
        <f t="shared" si="38"/>
        <v>1325.74</v>
      </c>
      <c r="H87" s="102">
        <f t="shared" si="38"/>
        <v>1369.14</v>
      </c>
      <c r="I87" s="102">
        <f t="shared" si="38"/>
        <v>1239.04</v>
      </c>
      <c r="J87" s="102">
        <f t="shared" si="38"/>
        <v>1220.1399999999999</v>
      </c>
      <c r="K87" s="102">
        <f t="shared" si="38"/>
        <v>1264.8399999999999</v>
      </c>
      <c r="L87" s="102">
        <f t="shared" si="38"/>
        <v>1331.44</v>
      </c>
      <c r="M87" s="102">
        <f t="shared" si="38"/>
        <v>1303.04</v>
      </c>
      <c r="N87" s="102">
        <f t="shared" si="38"/>
        <v>1288.1399999999999</v>
      </c>
      <c r="O87" s="102">
        <f t="shared" si="38"/>
        <v>1310.54</v>
      </c>
      <c r="P87" s="102">
        <f t="shared" si="38"/>
        <v>1352.3400000000001</v>
      </c>
      <c r="Q87" s="102">
        <f t="shared" si="38"/>
        <v>1315.04</v>
      </c>
      <c r="R87" s="102">
        <f t="shared" si="38"/>
        <v>1494.8400000000001</v>
      </c>
      <c r="S87" s="102">
        <f t="shared" si="38"/>
        <v>1508.24</v>
      </c>
      <c r="T87" s="102">
        <f t="shared" si="38"/>
        <v>1525.54</v>
      </c>
      <c r="U87" s="102">
        <f t="shared" ref="U87:V87" si="39">U48+U52+U70+U66+U82+U86</f>
        <v>1521.94</v>
      </c>
      <c r="V87" s="102">
        <f t="shared" si="39"/>
        <v>1499.54</v>
      </c>
      <c r="W87" s="102">
        <f t="shared" si="38"/>
        <v>1328.74</v>
      </c>
      <c r="X87" s="102">
        <f t="shared" ref="X87" si="40">X48+X52+X70+X66+X82+X86</f>
        <v>1342.1399999999999</v>
      </c>
      <c r="Y87" s="102">
        <f t="shared" si="38"/>
        <v>1320.04</v>
      </c>
      <c r="Z87" s="102">
        <f t="shared" si="38"/>
        <v>1431.44</v>
      </c>
      <c r="AA87" s="102">
        <f t="shared" si="38"/>
        <v>1403.44</v>
      </c>
      <c r="AB87" s="102">
        <f t="shared" si="38"/>
        <v>1423.7399999999998</v>
      </c>
      <c r="AC87" s="102">
        <f t="shared" si="38"/>
        <v>1358.6399999999999</v>
      </c>
      <c r="AD87" s="102">
        <f t="shared" si="38"/>
        <v>1312.34</v>
      </c>
      <c r="AE87" s="102">
        <f t="shared" si="38"/>
        <v>1321.34</v>
      </c>
      <c r="AF87" s="102">
        <f t="shared" si="38"/>
        <v>1405.9399999999998</v>
      </c>
      <c r="AG87" s="68">
        <f t="shared" si="38"/>
        <v>2065.09</v>
      </c>
      <c r="AH87" s="52">
        <f>MAX(B87:AF87)</f>
        <v>1525.54</v>
      </c>
      <c r="AI87" s="53">
        <f>MIN(B87:AF87)</f>
        <v>1220.1399999999999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>
        <v>140</v>
      </c>
      <c r="J88" s="104">
        <v>180</v>
      </c>
      <c r="K88" s="104">
        <v>180</v>
      </c>
      <c r="L88" s="104">
        <v>180</v>
      </c>
      <c r="M88" s="104">
        <v>180</v>
      </c>
      <c r="N88" s="104">
        <v>180</v>
      </c>
      <c r="O88" s="104">
        <v>180</v>
      </c>
      <c r="P88" s="104">
        <v>180</v>
      </c>
      <c r="Q88" s="104">
        <v>180</v>
      </c>
      <c r="R88" s="104"/>
      <c r="S88" s="104">
        <v>50</v>
      </c>
      <c r="T88" s="104">
        <v>50</v>
      </c>
      <c r="U88" s="104">
        <v>51</v>
      </c>
      <c r="V88" s="104">
        <v>52</v>
      </c>
      <c r="W88" s="104">
        <v>200</v>
      </c>
      <c r="X88" s="104">
        <v>200</v>
      </c>
      <c r="Y88" s="104">
        <v>200</v>
      </c>
      <c r="Z88" s="104">
        <v>280</v>
      </c>
      <c r="AA88" s="104">
        <v>270</v>
      </c>
      <c r="AB88" s="104">
        <v>270</v>
      </c>
      <c r="AC88" s="104"/>
      <c r="AD88" s="104"/>
      <c r="AE88" s="104"/>
      <c r="AF88" s="104"/>
      <c r="AG88" s="95"/>
      <c r="AH88" s="52">
        <f t="shared" si="33"/>
        <v>280</v>
      </c>
      <c r="AI88" s="53">
        <f t="shared" si="34"/>
        <v>50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:AF89" si="41">B87+B88</f>
        <v>1344.8799999999999</v>
      </c>
      <c r="C89" s="102">
        <f t="shared" si="41"/>
        <v>1333.24</v>
      </c>
      <c r="D89" s="102">
        <f t="shared" si="41"/>
        <v>1322.34</v>
      </c>
      <c r="E89" s="102">
        <f t="shared" si="41"/>
        <v>1315.94</v>
      </c>
      <c r="F89" s="102">
        <f t="shared" si="41"/>
        <v>1287.1399999999999</v>
      </c>
      <c r="G89" s="102">
        <f t="shared" si="41"/>
        <v>1325.74</v>
      </c>
      <c r="H89" s="102">
        <f t="shared" si="41"/>
        <v>1369.14</v>
      </c>
      <c r="I89" s="102">
        <f t="shared" si="41"/>
        <v>1379.04</v>
      </c>
      <c r="J89" s="102">
        <f t="shared" si="41"/>
        <v>1400.1399999999999</v>
      </c>
      <c r="K89" s="102">
        <f t="shared" si="41"/>
        <v>1444.84</v>
      </c>
      <c r="L89" s="102">
        <f t="shared" si="41"/>
        <v>1511.44</v>
      </c>
      <c r="M89" s="102">
        <f t="shared" si="41"/>
        <v>1483.04</v>
      </c>
      <c r="N89" s="102">
        <f t="shared" si="41"/>
        <v>1468.1399999999999</v>
      </c>
      <c r="O89" s="102">
        <f t="shared" si="41"/>
        <v>1490.54</v>
      </c>
      <c r="P89" s="102">
        <f t="shared" si="41"/>
        <v>1532.3400000000001</v>
      </c>
      <c r="Q89" s="102">
        <f t="shared" si="41"/>
        <v>1495.04</v>
      </c>
      <c r="R89" s="102">
        <f t="shared" si="41"/>
        <v>1494.8400000000001</v>
      </c>
      <c r="S89" s="102">
        <f t="shared" si="41"/>
        <v>1558.24</v>
      </c>
      <c r="T89" s="102">
        <f t="shared" si="41"/>
        <v>1575.54</v>
      </c>
      <c r="U89" s="102">
        <f t="shared" ref="U89:V89" si="42">U87+U88</f>
        <v>1572.94</v>
      </c>
      <c r="V89" s="102">
        <f t="shared" si="42"/>
        <v>1551.54</v>
      </c>
      <c r="W89" s="102">
        <f t="shared" si="41"/>
        <v>1528.74</v>
      </c>
      <c r="X89" s="102">
        <f t="shared" ref="X89" si="43">X87+X88</f>
        <v>1542.1399999999999</v>
      </c>
      <c r="Y89" s="102">
        <f t="shared" si="41"/>
        <v>1520.04</v>
      </c>
      <c r="Z89" s="102">
        <f t="shared" si="41"/>
        <v>1711.44</v>
      </c>
      <c r="AA89" s="102">
        <f t="shared" si="41"/>
        <v>1673.44</v>
      </c>
      <c r="AB89" s="102">
        <f t="shared" si="41"/>
        <v>1693.7399999999998</v>
      </c>
      <c r="AC89" s="102">
        <f t="shared" si="41"/>
        <v>1358.6399999999999</v>
      </c>
      <c r="AD89" s="102">
        <f t="shared" si="41"/>
        <v>1312.34</v>
      </c>
      <c r="AE89" s="102">
        <f t="shared" si="41"/>
        <v>1321.34</v>
      </c>
      <c r="AF89" s="102">
        <f t="shared" si="41"/>
        <v>1405.9399999999998</v>
      </c>
      <c r="AG89" s="95">
        <f>AG86+AG82+AG70+AG66+AG48+AG88</f>
        <v>1526.99</v>
      </c>
      <c r="AH89" s="52">
        <f t="shared" si="33"/>
        <v>1711.44</v>
      </c>
      <c r="AI89" s="53">
        <f t="shared" si="34"/>
        <v>1287.1399999999999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:AF90" si="44">B89-B97</f>
        <v>1344.8799999999999</v>
      </c>
      <c r="C90" s="102">
        <f t="shared" si="44"/>
        <v>1333.24</v>
      </c>
      <c r="D90" s="102">
        <f t="shared" si="44"/>
        <v>1322.34</v>
      </c>
      <c r="E90" s="102">
        <f t="shared" si="44"/>
        <v>1315.94</v>
      </c>
      <c r="F90" s="102">
        <f t="shared" si="44"/>
        <v>1287.1399999999999</v>
      </c>
      <c r="G90" s="102">
        <f t="shared" si="44"/>
        <v>1325.74</v>
      </c>
      <c r="H90" s="102">
        <f t="shared" si="44"/>
        <v>1369.14</v>
      </c>
      <c r="I90" s="102">
        <f t="shared" si="44"/>
        <v>1379.04</v>
      </c>
      <c r="J90" s="102">
        <f t="shared" si="44"/>
        <v>1400.1399999999999</v>
      </c>
      <c r="K90" s="102">
        <f t="shared" si="44"/>
        <v>1444.84</v>
      </c>
      <c r="L90" s="102">
        <f t="shared" si="44"/>
        <v>1511.44</v>
      </c>
      <c r="M90" s="102">
        <f t="shared" si="44"/>
        <v>1483.04</v>
      </c>
      <c r="N90" s="102">
        <f t="shared" si="44"/>
        <v>1468.1399999999999</v>
      </c>
      <c r="O90" s="102">
        <f t="shared" si="44"/>
        <v>1490.54</v>
      </c>
      <c r="P90" s="102">
        <f t="shared" si="44"/>
        <v>1532.3400000000001</v>
      </c>
      <c r="Q90" s="102">
        <f t="shared" si="44"/>
        <v>1495.04</v>
      </c>
      <c r="R90" s="102">
        <f t="shared" si="44"/>
        <v>1494.8400000000001</v>
      </c>
      <c r="S90" s="102">
        <f t="shared" si="44"/>
        <v>1558.24</v>
      </c>
      <c r="T90" s="102">
        <f t="shared" si="44"/>
        <v>1575.54</v>
      </c>
      <c r="U90" s="102">
        <f t="shared" ref="U90:V90" si="45">U89-U97</f>
        <v>1572.94</v>
      </c>
      <c r="V90" s="102">
        <f t="shared" si="45"/>
        <v>1551.54</v>
      </c>
      <c r="W90" s="102">
        <f t="shared" si="44"/>
        <v>1528.74</v>
      </c>
      <c r="X90" s="102">
        <f t="shared" ref="X90" si="46">X89-X97</f>
        <v>1542.1399999999999</v>
      </c>
      <c r="Y90" s="102">
        <f t="shared" si="44"/>
        <v>1520.04</v>
      </c>
      <c r="Z90" s="102">
        <f t="shared" si="44"/>
        <v>1711.44</v>
      </c>
      <c r="AA90" s="102">
        <f t="shared" si="44"/>
        <v>1673.44</v>
      </c>
      <c r="AB90" s="102">
        <f t="shared" si="44"/>
        <v>1693.7399999999998</v>
      </c>
      <c r="AC90" s="102">
        <f t="shared" si="44"/>
        <v>1358.6399999999999</v>
      </c>
      <c r="AD90" s="102">
        <f t="shared" si="44"/>
        <v>1312.34</v>
      </c>
      <c r="AE90" s="102">
        <f t="shared" si="44"/>
        <v>1321.34</v>
      </c>
      <c r="AF90" s="102">
        <f t="shared" si="44"/>
        <v>1405.9399999999998</v>
      </c>
      <c r="AG90" s="95"/>
      <c r="AH90" s="52">
        <f t="shared" si="33"/>
        <v>1711.44</v>
      </c>
      <c r="AI90" s="53">
        <f t="shared" si="34"/>
        <v>1287.1399999999999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33"/>
        <v>0</v>
      </c>
      <c r="AI91" s="53">
        <f t="shared" si="34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33"/>
        <v>0</v>
      </c>
      <c r="AI92" s="53">
        <f t="shared" si="34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33"/>
        <v>0</v>
      </c>
      <c r="AI93" s="53">
        <f t="shared" si="34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33"/>
        <v>0</v>
      </c>
      <c r="AI94" s="53">
        <f t="shared" si="34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33"/>
        <v>0</v>
      </c>
      <c r="AI95" s="53">
        <f t="shared" si="34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33"/>
        <v>0</v>
      </c>
      <c r="AI96" s="53">
        <f t="shared" si="34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>
        <v>0</v>
      </c>
      <c r="AA97" s="67">
        <v>0</v>
      </c>
      <c r="AB97" s="67"/>
      <c r="AC97" s="67"/>
      <c r="AD97" s="67"/>
      <c r="AE97" s="67"/>
      <c r="AF97" s="67"/>
      <c r="AG97" s="95"/>
      <c r="AH97" s="52">
        <f t="shared" si="33"/>
        <v>0</v>
      </c>
      <c r="AI97" s="53">
        <f t="shared" si="34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:AF98" si="47">B82-B97</f>
        <v>614</v>
      </c>
      <c r="C98" s="67">
        <f t="shared" si="47"/>
        <v>599.5</v>
      </c>
      <c r="D98" s="67">
        <f t="shared" si="47"/>
        <v>626.70000000000005</v>
      </c>
      <c r="E98" s="67">
        <f t="shared" si="47"/>
        <v>571.4</v>
      </c>
      <c r="F98" s="67">
        <f t="shared" si="47"/>
        <v>565</v>
      </c>
      <c r="G98" s="67">
        <f t="shared" si="47"/>
        <v>557.20000000000005</v>
      </c>
      <c r="H98" s="67">
        <f t="shared" si="47"/>
        <v>556.80000000000007</v>
      </c>
      <c r="I98" s="67">
        <f t="shared" si="47"/>
        <v>523.5</v>
      </c>
      <c r="J98" s="67">
        <f t="shared" si="47"/>
        <v>586.6</v>
      </c>
      <c r="K98" s="67">
        <f t="shared" si="47"/>
        <v>609.29999999999995</v>
      </c>
      <c r="L98" s="67">
        <f t="shared" si="47"/>
        <v>616.9</v>
      </c>
      <c r="M98" s="67">
        <f t="shared" si="47"/>
        <v>587.1</v>
      </c>
      <c r="N98" s="67">
        <f t="shared" si="47"/>
        <v>656.9</v>
      </c>
      <c r="O98" s="67">
        <f t="shared" si="47"/>
        <v>679.3</v>
      </c>
      <c r="P98" s="67">
        <f t="shared" si="47"/>
        <v>718.80000000000007</v>
      </c>
      <c r="Q98" s="67">
        <f t="shared" si="47"/>
        <v>610.1</v>
      </c>
      <c r="R98" s="67">
        <f t="shared" si="47"/>
        <v>653.80000000000007</v>
      </c>
      <c r="S98" s="67">
        <f t="shared" si="47"/>
        <v>648</v>
      </c>
      <c r="T98" s="67">
        <f t="shared" si="47"/>
        <v>667.2</v>
      </c>
      <c r="U98" s="67">
        <f t="shared" ref="U98:V98" si="48">U82-U97</f>
        <v>667.2</v>
      </c>
      <c r="V98" s="67">
        <f t="shared" si="48"/>
        <v>665.2</v>
      </c>
      <c r="W98" s="67">
        <f t="shared" si="47"/>
        <v>622.90000000000009</v>
      </c>
      <c r="X98" s="67">
        <f t="shared" ref="X98" si="49">X82-X97</f>
        <v>622.6</v>
      </c>
      <c r="Y98" s="67">
        <f t="shared" si="47"/>
        <v>600.29999999999995</v>
      </c>
      <c r="Z98" s="67">
        <f t="shared" si="47"/>
        <v>557</v>
      </c>
      <c r="AA98" s="67">
        <f t="shared" si="47"/>
        <v>529</v>
      </c>
      <c r="AB98" s="67">
        <f t="shared" si="47"/>
        <v>554.9</v>
      </c>
      <c r="AC98" s="67">
        <f t="shared" si="47"/>
        <v>577.70000000000005</v>
      </c>
      <c r="AD98" s="67">
        <f t="shared" si="47"/>
        <v>520.70000000000005</v>
      </c>
      <c r="AE98" s="67">
        <f t="shared" si="47"/>
        <v>564.6</v>
      </c>
      <c r="AF98" s="67">
        <f t="shared" si="47"/>
        <v>609.20000000000005</v>
      </c>
      <c r="AG98" s="95"/>
      <c r="AH98" s="52">
        <f t="shared" si="33"/>
        <v>718.80000000000007</v>
      </c>
      <c r="AI98" s="53">
        <f t="shared" si="34"/>
        <v>520.70000000000005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49.99</v>
      </c>
      <c r="C99" s="108">
        <v>49.917999999999999</v>
      </c>
      <c r="D99" s="108">
        <v>49.987000000000002</v>
      </c>
      <c r="E99" s="108">
        <v>49.994999999999997</v>
      </c>
      <c r="F99" s="108">
        <v>49.978999999999999</v>
      </c>
      <c r="G99" s="108">
        <v>49.963000000000001</v>
      </c>
      <c r="H99" s="108">
        <v>49.945999999999998</v>
      </c>
      <c r="I99" s="108">
        <v>49.966000000000001</v>
      </c>
      <c r="J99" s="108">
        <v>50.069000000000003</v>
      </c>
      <c r="K99" s="108">
        <v>49.975999999999999</v>
      </c>
      <c r="L99" s="108">
        <v>49.881999999999998</v>
      </c>
      <c r="M99" s="108">
        <v>49.966000000000001</v>
      </c>
      <c r="N99" s="108">
        <v>49.968000000000004</v>
      </c>
      <c r="O99" s="108">
        <v>49.798999999999999</v>
      </c>
      <c r="P99" s="108">
        <v>49.99</v>
      </c>
      <c r="Q99" s="108">
        <v>49.951999999999998</v>
      </c>
      <c r="R99" s="108">
        <v>49.97</v>
      </c>
      <c r="S99" s="108">
        <v>49.981999999999999</v>
      </c>
      <c r="T99" s="108">
        <v>49.98</v>
      </c>
      <c r="U99" s="108">
        <v>49.98</v>
      </c>
      <c r="V99" s="108">
        <v>50.1</v>
      </c>
      <c r="W99" s="108">
        <v>49.92</v>
      </c>
      <c r="X99" s="108">
        <v>49.94</v>
      </c>
      <c r="Y99" s="108">
        <v>49.89</v>
      </c>
      <c r="Z99" s="108">
        <v>49.98</v>
      </c>
      <c r="AA99" s="108">
        <v>49.9</v>
      </c>
      <c r="AB99" s="108">
        <v>50.1</v>
      </c>
      <c r="AC99" s="108">
        <v>50.036000000000001</v>
      </c>
      <c r="AD99" s="108">
        <v>49.97</v>
      </c>
      <c r="AE99" s="108">
        <v>50.029000000000003</v>
      </c>
      <c r="AF99" s="108">
        <v>49.927</v>
      </c>
      <c r="AG99" s="109"/>
      <c r="AH99" s="52">
        <f t="shared" si="33"/>
        <v>50.1</v>
      </c>
      <c r="AI99" s="53">
        <f t="shared" si="34"/>
        <v>49.798999999999999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127.39</v>
      </c>
      <c r="C100" s="72">
        <v>127.39</v>
      </c>
      <c r="D100" s="72">
        <v>127.6</v>
      </c>
      <c r="E100" s="72">
        <v>127.4</v>
      </c>
      <c r="F100" s="72">
        <v>127.7</v>
      </c>
      <c r="G100" s="72">
        <v>127.3</v>
      </c>
      <c r="H100" s="72">
        <v>126.3</v>
      </c>
      <c r="I100" s="72">
        <v>129.5</v>
      </c>
      <c r="J100" s="72">
        <v>129</v>
      </c>
      <c r="K100" s="72">
        <v>128.5</v>
      </c>
      <c r="L100" s="72">
        <v>126.5</v>
      </c>
      <c r="M100" s="72">
        <v>126.8</v>
      </c>
      <c r="N100" s="72">
        <v>125.8</v>
      </c>
      <c r="O100" s="72">
        <v>126.2</v>
      </c>
      <c r="P100" s="72">
        <v>126.4</v>
      </c>
      <c r="Q100" s="72">
        <v>126.8</v>
      </c>
      <c r="R100" s="72">
        <v>124.4</v>
      </c>
      <c r="S100" s="72">
        <v>124.7</v>
      </c>
      <c r="T100" s="72">
        <v>124.4</v>
      </c>
      <c r="U100" s="72">
        <v>124.4</v>
      </c>
      <c r="V100" s="72">
        <v>125.4</v>
      </c>
      <c r="W100" s="72">
        <v>127.4</v>
      </c>
      <c r="X100" s="72">
        <v>126.9</v>
      </c>
      <c r="Y100" s="72">
        <v>128.6</v>
      </c>
      <c r="Z100" s="72">
        <v>128</v>
      </c>
      <c r="AA100" s="72">
        <v>128.80000000000001</v>
      </c>
      <c r="AB100" s="72">
        <v>129.5</v>
      </c>
      <c r="AC100" s="72">
        <v>129.5</v>
      </c>
      <c r="AD100" s="72">
        <v>129.5</v>
      </c>
      <c r="AE100" s="72">
        <v>127.3</v>
      </c>
      <c r="AF100" s="72">
        <v>126</v>
      </c>
      <c r="AG100" s="111"/>
      <c r="AH100" s="52">
        <f t="shared" si="33"/>
        <v>129.5</v>
      </c>
      <c r="AI100" s="53">
        <f t="shared" si="34"/>
        <v>124.4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131.9</v>
      </c>
      <c r="C101" s="72">
        <v>131.9</v>
      </c>
      <c r="D101" s="72">
        <v>131.80000000000001</v>
      </c>
      <c r="E101" s="72">
        <v>131.9</v>
      </c>
      <c r="F101" s="72">
        <v>132.69999999999999</v>
      </c>
      <c r="G101" s="72">
        <v>131.6</v>
      </c>
      <c r="H101" s="72">
        <v>130.69999999999999</v>
      </c>
      <c r="I101" s="72">
        <v>131.6</v>
      </c>
      <c r="J101" s="72">
        <v>130.69999999999999</v>
      </c>
      <c r="K101" s="72">
        <v>130</v>
      </c>
      <c r="L101" s="72">
        <v>128.19999999999999</v>
      </c>
      <c r="M101" s="72">
        <v>128.4</v>
      </c>
      <c r="N101" s="72">
        <v>127.4</v>
      </c>
      <c r="O101" s="72">
        <v>127.7</v>
      </c>
      <c r="P101" s="72">
        <v>128.19999999999999</v>
      </c>
      <c r="Q101" s="72">
        <v>128.69999999999999</v>
      </c>
      <c r="R101" s="72">
        <v>128.1</v>
      </c>
      <c r="S101" s="72">
        <v>128</v>
      </c>
      <c r="T101" s="72">
        <v>127.9</v>
      </c>
      <c r="U101" s="72">
        <v>127.9</v>
      </c>
      <c r="V101" s="72">
        <v>128</v>
      </c>
      <c r="W101" s="72">
        <v>129.69999999999999</v>
      </c>
      <c r="X101" s="72">
        <v>129.1</v>
      </c>
      <c r="Y101" s="72">
        <v>130.19999999999999</v>
      </c>
      <c r="Z101" s="72">
        <v>130.4</v>
      </c>
      <c r="AA101" s="72">
        <v>131.30000000000001</v>
      </c>
      <c r="AB101" s="72">
        <v>131.69999999999999</v>
      </c>
      <c r="AC101" s="72">
        <v>131.69999999999999</v>
      </c>
      <c r="AD101" s="72">
        <v>131.69999999999999</v>
      </c>
      <c r="AE101" s="72">
        <v>131</v>
      </c>
      <c r="AF101" s="72">
        <v>131</v>
      </c>
      <c r="AG101" s="111"/>
      <c r="AH101" s="52">
        <f t="shared" si="33"/>
        <v>132.69999999999999</v>
      </c>
      <c r="AI101" s="53">
        <f t="shared" si="34"/>
        <v>127.4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129</v>
      </c>
      <c r="C102" s="72">
        <v>129</v>
      </c>
      <c r="D102" s="72">
        <v>130</v>
      </c>
      <c r="E102" s="72">
        <v>131.30000000000001</v>
      </c>
      <c r="F102" s="72">
        <v>131.19999999999999</v>
      </c>
      <c r="G102" s="72">
        <v>130</v>
      </c>
      <c r="H102" s="72">
        <v>129.5</v>
      </c>
      <c r="I102" s="72">
        <v>129.80000000000001</v>
      </c>
      <c r="J102" s="72">
        <v>129.1</v>
      </c>
      <c r="K102" s="72">
        <v>126.5</v>
      </c>
      <c r="L102" s="72">
        <v>128.19999999999999</v>
      </c>
      <c r="M102" s="72">
        <v>124.9</v>
      </c>
      <c r="N102" s="72">
        <v>128.6</v>
      </c>
      <c r="O102" s="72">
        <v>122.5</v>
      </c>
      <c r="P102" s="72">
        <v>125.4</v>
      </c>
      <c r="Q102" s="72">
        <v>126.6</v>
      </c>
      <c r="R102" s="72">
        <v>123.2</v>
      </c>
      <c r="S102" s="72">
        <v>124.4</v>
      </c>
      <c r="T102" s="72">
        <v>127.5</v>
      </c>
      <c r="U102" s="72">
        <v>127.5</v>
      </c>
      <c r="V102" s="72">
        <v>128.69999999999999</v>
      </c>
      <c r="W102" s="72">
        <v>130.19999999999999</v>
      </c>
      <c r="X102" s="72">
        <v>129.9</v>
      </c>
      <c r="Y102" s="72">
        <v>127.9</v>
      </c>
      <c r="Z102" s="72">
        <v>128.19999999999999</v>
      </c>
      <c r="AA102" s="72">
        <v>128.4</v>
      </c>
      <c r="AB102" s="72">
        <v>129</v>
      </c>
      <c r="AC102" s="72">
        <v>129</v>
      </c>
      <c r="AD102" s="72">
        <v>129</v>
      </c>
      <c r="AE102" s="72">
        <v>127.7</v>
      </c>
      <c r="AF102" s="72">
        <v>127.7</v>
      </c>
      <c r="AG102" s="111"/>
      <c r="AH102" s="52">
        <f t="shared" si="33"/>
        <v>131.30000000000001</v>
      </c>
      <c r="AI102" s="53">
        <f t="shared" si="34"/>
        <v>122.5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33"/>
        <v>0</v>
      </c>
      <c r="AI103" s="53">
        <f t="shared" si="34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131</v>
      </c>
      <c r="C104" s="113">
        <v>131</v>
      </c>
      <c r="D104" s="113">
        <v>129.69999999999999</v>
      </c>
      <c r="E104" s="113">
        <v>130</v>
      </c>
      <c r="F104" s="113">
        <v>135.30000000000001</v>
      </c>
      <c r="G104" s="113">
        <v>132.80000000000001</v>
      </c>
      <c r="H104" s="113">
        <v>131.5</v>
      </c>
      <c r="I104" s="113">
        <v>132.6</v>
      </c>
      <c r="J104" s="113">
        <v>134.1</v>
      </c>
      <c r="K104" s="113">
        <v>134.5</v>
      </c>
      <c r="L104" s="113">
        <v>130.9</v>
      </c>
      <c r="M104" s="113">
        <v>131.5</v>
      </c>
      <c r="N104" s="113">
        <v>131.9</v>
      </c>
      <c r="O104" s="113">
        <v>133.1</v>
      </c>
      <c r="P104" s="113">
        <v>132.5</v>
      </c>
      <c r="Q104" s="113">
        <v>135.1</v>
      </c>
      <c r="R104" s="113">
        <v>133.9</v>
      </c>
      <c r="S104" s="113">
        <v>132.80000000000001</v>
      </c>
      <c r="T104" s="113">
        <v>134.19999999999999</v>
      </c>
      <c r="U104" s="113">
        <v>134.19999999999999</v>
      </c>
      <c r="V104" s="113">
        <v>130.9</v>
      </c>
      <c r="W104" s="113">
        <v>134.80000000000001</v>
      </c>
      <c r="X104" s="113">
        <v>134.30000000000001</v>
      </c>
      <c r="Y104" s="113">
        <v>136.69999999999999</v>
      </c>
      <c r="Z104" s="113">
        <v>132.69999999999999</v>
      </c>
      <c r="AA104" s="113">
        <v>135.1</v>
      </c>
      <c r="AB104" s="113">
        <v>134.5</v>
      </c>
      <c r="AC104" s="113">
        <v>134.5</v>
      </c>
      <c r="AD104" s="113">
        <v>134.5</v>
      </c>
      <c r="AE104" s="113">
        <v>130.5</v>
      </c>
      <c r="AF104" s="113">
        <v>130.5</v>
      </c>
      <c r="AG104" s="114"/>
      <c r="AH104" s="52">
        <f t="shared" si="33"/>
        <v>136.69999999999999</v>
      </c>
      <c r="AI104" s="53">
        <f t="shared" si="34"/>
        <v>129.69999999999999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127</v>
      </c>
      <c r="C105" s="72">
        <v>127</v>
      </c>
      <c r="D105" s="72">
        <v>127.8</v>
      </c>
      <c r="E105" s="72">
        <v>128.69999999999999</v>
      </c>
      <c r="F105" s="72">
        <v>126.5</v>
      </c>
      <c r="G105" s="72">
        <v>129.30000000000001</v>
      </c>
      <c r="H105" s="72">
        <v>125.6</v>
      </c>
      <c r="I105" s="72">
        <v>128.80000000000001</v>
      </c>
      <c r="J105" s="72">
        <v>125.9</v>
      </c>
      <c r="K105" s="72">
        <v>128.1</v>
      </c>
      <c r="L105" s="72">
        <v>122.8</v>
      </c>
      <c r="M105" s="72">
        <v>132</v>
      </c>
      <c r="N105" s="72">
        <v>131.69999999999999</v>
      </c>
      <c r="O105" s="72">
        <v>128.80000000000001</v>
      </c>
      <c r="P105" s="72">
        <v>132.1</v>
      </c>
      <c r="Q105" s="72">
        <v>131.6</v>
      </c>
      <c r="R105" s="72">
        <v>125</v>
      </c>
      <c r="S105" s="72">
        <v>128.4</v>
      </c>
      <c r="T105" s="72">
        <v>130.69999999999999</v>
      </c>
      <c r="U105" s="72">
        <v>130.69999999999999</v>
      </c>
      <c r="V105" s="72"/>
      <c r="W105" s="72">
        <v>131.19999999999999</v>
      </c>
      <c r="X105" s="72">
        <v>133.69999999999999</v>
      </c>
      <c r="Y105" s="72">
        <v>131.19999999999999</v>
      </c>
      <c r="Z105" s="72">
        <v>134.6</v>
      </c>
      <c r="AA105" s="72">
        <v>135.19999999999999</v>
      </c>
      <c r="AB105" s="72">
        <v>131</v>
      </c>
      <c r="AC105" s="72">
        <v>131</v>
      </c>
      <c r="AD105" s="72">
        <v>131</v>
      </c>
      <c r="AE105" s="72">
        <v>130.1</v>
      </c>
      <c r="AF105" s="72">
        <v>130.1</v>
      </c>
      <c r="AG105" s="111"/>
      <c r="AH105" s="52">
        <f t="shared" si="33"/>
        <v>135.19999999999999</v>
      </c>
      <c r="AI105" s="53">
        <f t="shared" si="34"/>
        <v>122.8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66</v>
      </c>
      <c r="C106" s="99">
        <v>66</v>
      </c>
      <c r="D106" s="99">
        <v>66.5</v>
      </c>
      <c r="E106" s="99">
        <v>66.5</v>
      </c>
      <c r="F106" s="99">
        <v>66.8</v>
      </c>
      <c r="G106" s="99">
        <v>66.400000000000006</v>
      </c>
      <c r="H106" s="99">
        <v>65.900000000000006</v>
      </c>
      <c r="I106" s="99">
        <v>65.7</v>
      </c>
      <c r="J106" s="99">
        <v>65.400000000000006</v>
      </c>
      <c r="K106" s="99">
        <v>65.400000000000006</v>
      </c>
      <c r="L106" s="99">
        <v>64.599999999999994</v>
      </c>
      <c r="M106" s="99">
        <v>64.599999999999994</v>
      </c>
      <c r="N106" s="99">
        <v>64.2</v>
      </c>
      <c r="O106" s="99">
        <v>64.2</v>
      </c>
      <c r="P106" s="99">
        <v>64.5</v>
      </c>
      <c r="Q106" s="99">
        <v>64.7</v>
      </c>
      <c r="R106" s="99">
        <v>64.7</v>
      </c>
      <c r="S106" s="99">
        <v>64.2</v>
      </c>
      <c r="T106" s="99">
        <v>64.099999999999994</v>
      </c>
      <c r="U106" s="99">
        <v>64.099999999999994</v>
      </c>
      <c r="V106" s="99">
        <v>64.2</v>
      </c>
      <c r="W106" s="99">
        <v>65.2</v>
      </c>
      <c r="X106" s="99">
        <v>64.900000000000006</v>
      </c>
      <c r="Y106" s="99">
        <v>65.099999999999994</v>
      </c>
      <c r="Z106" s="99">
        <v>65.2</v>
      </c>
      <c r="AA106" s="99">
        <v>65.599999999999994</v>
      </c>
      <c r="AB106" s="99">
        <v>66</v>
      </c>
      <c r="AC106" s="99">
        <v>66</v>
      </c>
      <c r="AD106" s="99">
        <v>66</v>
      </c>
      <c r="AE106" s="99">
        <v>65.099999999999994</v>
      </c>
      <c r="AF106" s="99">
        <v>65.099999999999994</v>
      </c>
      <c r="AG106" s="115"/>
      <c r="AH106" s="52">
        <f t="shared" si="33"/>
        <v>66.8</v>
      </c>
      <c r="AI106" s="53">
        <f t="shared" si="34"/>
        <v>64.099999999999994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 t="s">
        <v>255</v>
      </c>
      <c r="AA107" s="99"/>
      <c r="AB107" s="99"/>
      <c r="AC107" s="99"/>
      <c r="AD107" s="99"/>
      <c r="AE107" s="99"/>
      <c r="AF107" s="99"/>
      <c r="AG107" s="115"/>
      <c r="AH107" s="52">
        <f t="shared" si="33"/>
        <v>0</v>
      </c>
      <c r="AI107" s="53">
        <f t="shared" si="34"/>
        <v>0</v>
      </c>
    </row>
    <row r="108" spans="1:88" ht="15.75" thickBot="1" x14ac:dyDescent="0.3">
      <c r="A108" s="117" t="s">
        <v>116</v>
      </c>
      <c r="B108" s="118">
        <f t="shared" ref="B108:AF108" si="50">SUM(B18,B24,B27:B28,B56,B58:B59,B61,B63,B109:B113,B135,B141,B147,B156,B158,B170,B177,B180:B181,B188,B190,B192,B196:B198,B200:B202,B207,B213:B214,B216:B218,B226,B231)</f>
        <v>117.10000000000001</v>
      </c>
      <c r="C108" s="118">
        <f t="shared" si="50"/>
        <v>107.64000000000001</v>
      </c>
      <c r="D108" s="118">
        <f t="shared" si="50"/>
        <v>112.28</v>
      </c>
      <c r="E108" s="118">
        <f t="shared" si="50"/>
        <v>109.34</v>
      </c>
      <c r="F108" s="118">
        <f t="shared" si="50"/>
        <v>116.14000000000001</v>
      </c>
      <c r="G108" s="118">
        <f t="shared" si="50"/>
        <v>138.74</v>
      </c>
      <c r="H108" s="118">
        <f t="shared" si="50"/>
        <v>166.14000000000001</v>
      </c>
      <c r="I108" s="118">
        <f t="shared" si="50"/>
        <v>203.94</v>
      </c>
      <c r="J108" s="118">
        <f t="shared" si="50"/>
        <v>242.04000000000002</v>
      </c>
      <c r="K108" s="118">
        <f t="shared" si="50"/>
        <v>270.04000000000002</v>
      </c>
      <c r="L108" s="118">
        <f t="shared" si="50"/>
        <v>291.24</v>
      </c>
      <c r="M108" s="118">
        <f t="shared" si="50"/>
        <v>282.94</v>
      </c>
      <c r="N108" s="118">
        <f t="shared" si="50"/>
        <v>278.24</v>
      </c>
      <c r="O108" s="118">
        <f t="shared" si="50"/>
        <v>277.24</v>
      </c>
      <c r="P108" s="118">
        <v>42</v>
      </c>
      <c r="Q108" s="118">
        <f t="shared" si="50"/>
        <v>266.10000000000002</v>
      </c>
      <c r="R108" s="118">
        <f t="shared" si="50"/>
        <v>256.32000000000005</v>
      </c>
      <c r="S108" s="118">
        <f t="shared" si="50"/>
        <v>224.70000000000002</v>
      </c>
      <c r="T108" s="118">
        <f t="shared" si="50"/>
        <v>229</v>
      </c>
      <c r="U108" s="118">
        <f t="shared" si="50"/>
        <v>229</v>
      </c>
      <c r="V108" s="118">
        <f t="shared" si="50"/>
        <v>291.80000000000007</v>
      </c>
      <c r="W108" s="118">
        <f t="shared" si="50"/>
        <v>234.10000000000002</v>
      </c>
      <c r="X108" s="118">
        <f t="shared" ref="X108" si="51">SUM(X18,X24,X27:X28,X56,X58:X59,X61,X63,X109:X113,X135,X141,X147,X156,X158,X170,X177,X180:X181,X188,X190,X192,X196:X198,X200:X202,X207,X213:X214,X216:X218,X226,X231)</f>
        <v>241.20000000000002</v>
      </c>
      <c r="Y108" s="118">
        <f t="shared" si="50"/>
        <v>284.30000000000007</v>
      </c>
      <c r="Z108" s="118">
        <f t="shared" si="50"/>
        <v>310</v>
      </c>
      <c r="AA108" s="118">
        <f t="shared" si="50"/>
        <v>299.7</v>
      </c>
      <c r="AB108" s="118">
        <f t="shared" si="50"/>
        <v>303.5</v>
      </c>
      <c r="AC108" s="118">
        <f t="shared" si="50"/>
        <v>266.10000000000002</v>
      </c>
      <c r="AD108" s="118">
        <f t="shared" si="50"/>
        <v>243</v>
      </c>
      <c r="AE108" s="118">
        <f t="shared" si="50"/>
        <v>176.6</v>
      </c>
      <c r="AF108" s="118">
        <f t="shared" si="50"/>
        <v>149.9</v>
      </c>
      <c r="AG108" s="119"/>
      <c r="AH108" s="52">
        <f t="shared" si="33"/>
        <v>310</v>
      </c>
      <c r="AI108" s="53">
        <f t="shared" si="34"/>
        <v>42</v>
      </c>
    </row>
    <row r="109" spans="1:88" x14ac:dyDescent="0.25">
      <c r="A109" s="107" t="s">
        <v>117</v>
      </c>
      <c r="B109" s="120">
        <v>-19.600000000000001</v>
      </c>
      <c r="C109" s="120">
        <v>-21.8</v>
      </c>
      <c r="D109" s="120">
        <v>-22</v>
      </c>
      <c r="E109" s="120">
        <v>-14.7</v>
      </c>
      <c r="F109" s="120">
        <v>-10.6</v>
      </c>
      <c r="G109" s="120">
        <v>-7.8</v>
      </c>
      <c r="H109" s="120">
        <v>-2.7</v>
      </c>
      <c r="I109" s="120">
        <v>-9.4</v>
      </c>
      <c r="J109" s="120">
        <v>-10</v>
      </c>
      <c r="K109" s="120">
        <v>-3</v>
      </c>
      <c r="L109" s="120">
        <v>-1.6</v>
      </c>
      <c r="M109" s="120">
        <v>4.2</v>
      </c>
      <c r="N109" s="120">
        <v>-4.9000000000000004</v>
      </c>
      <c r="O109" s="120">
        <v>-3.4</v>
      </c>
      <c r="P109" s="120">
        <v>-1.9</v>
      </c>
      <c r="Q109" s="120">
        <v>7.9</v>
      </c>
      <c r="R109" s="120">
        <v>3.2</v>
      </c>
      <c r="S109" s="120">
        <v>4.5</v>
      </c>
      <c r="T109" s="120">
        <v>3.6</v>
      </c>
      <c r="U109" s="120">
        <v>3.6</v>
      </c>
      <c r="V109" s="120">
        <v>-10.1</v>
      </c>
      <c r="W109" s="120">
        <v>-6.7</v>
      </c>
      <c r="X109" s="120">
        <v>-7.9</v>
      </c>
      <c r="Y109" s="120">
        <v>-3.6</v>
      </c>
      <c r="Z109" s="120">
        <v>11.5</v>
      </c>
      <c r="AA109" s="120">
        <v>11.1</v>
      </c>
      <c r="AB109" s="120">
        <v>0</v>
      </c>
      <c r="AC109" s="120">
        <v>-10.5</v>
      </c>
      <c r="AD109" s="120">
        <v>-8.3000000000000007</v>
      </c>
      <c r="AE109" s="120">
        <v>-9.1999999999999993</v>
      </c>
      <c r="AF109" s="120">
        <v>-25.4</v>
      </c>
      <c r="AG109" s="121">
        <v>75</v>
      </c>
      <c r="AH109" s="52">
        <f t="shared" si="33"/>
        <v>11.5</v>
      </c>
      <c r="AI109" s="53">
        <f t="shared" si="34"/>
        <v>-25.4</v>
      </c>
    </row>
    <row r="110" spans="1:88" x14ac:dyDescent="0.25">
      <c r="A110" s="110" t="s">
        <v>118</v>
      </c>
      <c r="B110" s="122">
        <v>-22.2</v>
      </c>
      <c r="C110" s="122">
        <v>-25.7</v>
      </c>
      <c r="D110" s="122">
        <v>-25.5</v>
      </c>
      <c r="E110" s="122">
        <v>-16.899999999999999</v>
      </c>
      <c r="F110" s="122">
        <v>-16</v>
      </c>
      <c r="G110" s="122">
        <v>-8.6999999999999993</v>
      </c>
      <c r="H110" s="122">
        <v>-1.8</v>
      </c>
      <c r="I110" s="122">
        <v>-14.4</v>
      </c>
      <c r="J110" s="122">
        <v>-18.5</v>
      </c>
      <c r="K110" s="122">
        <v>-10.4</v>
      </c>
      <c r="L110" s="122">
        <v>-8.6</v>
      </c>
      <c r="M110" s="122">
        <v>-1.3</v>
      </c>
      <c r="N110" s="122">
        <v>-12.4</v>
      </c>
      <c r="O110" s="122">
        <v>-10.3</v>
      </c>
      <c r="P110" s="122">
        <v>-6.3</v>
      </c>
      <c r="Q110" s="122">
        <v>9</v>
      </c>
      <c r="R110" s="122">
        <v>6.12</v>
      </c>
      <c r="S110" s="122">
        <v>8.3000000000000007</v>
      </c>
      <c r="T110" s="122">
        <v>7.7</v>
      </c>
      <c r="U110" s="122">
        <v>7.7</v>
      </c>
      <c r="V110" s="122">
        <v>-10.9</v>
      </c>
      <c r="W110" s="122">
        <v>-12.9</v>
      </c>
      <c r="X110" s="122">
        <v>-16.899999999999999</v>
      </c>
      <c r="Y110" s="122">
        <v>-8.8000000000000007</v>
      </c>
      <c r="Z110" s="122">
        <v>9.8000000000000007</v>
      </c>
      <c r="AA110" s="122">
        <v>9.1999999999999993</v>
      </c>
      <c r="AB110" s="122">
        <v>-5.7</v>
      </c>
      <c r="AC110" s="122">
        <v>-19.100000000000001</v>
      </c>
      <c r="AD110" s="122">
        <v>-16.600000000000001</v>
      </c>
      <c r="AE110" s="122">
        <v>-14.7</v>
      </c>
      <c r="AF110" s="122">
        <v>-32.700000000000003</v>
      </c>
      <c r="AG110" s="121"/>
      <c r="AH110" s="52"/>
      <c r="AI110" s="53"/>
    </row>
    <row r="111" spans="1:88" x14ac:dyDescent="0.25">
      <c r="A111" s="110" t="s">
        <v>119</v>
      </c>
      <c r="B111" s="122">
        <v>-35.6</v>
      </c>
      <c r="C111" s="122">
        <v>-45</v>
      </c>
      <c r="D111" s="122">
        <v>-36</v>
      </c>
      <c r="E111" s="122">
        <v>-49</v>
      </c>
      <c r="F111" s="122">
        <v>-48</v>
      </c>
      <c r="G111" s="122">
        <v>-42</v>
      </c>
      <c r="H111" s="122">
        <v>-35</v>
      </c>
      <c r="I111" s="122">
        <v>6.7</v>
      </c>
      <c r="J111" s="122">
        <v>43</v>
      </c>
      <c r="K111" s="122">
        <v>47</v>
      </c>
      <c r="L111" s="122">
        <v>50</v>
      </c>
      <c r="M111" s="122">
        <f>20+23</f>
        <v>43</v>
      </c>
      <c r="N111" s="122">
        <f>26+23</f>
        <v>49</v>
      </c>
      <c r="O111" s="122">
        <f>25+22</f>
        <v>47</v>
      </c>
      <c r="P111" s="122">
        <f>22.4+18.4</f>
        <v>40.799999999999997</v>
      </c>
      <c r="Q111" s="122">
        <f>13+9</f>
        <v>22</v>
      </c>
      <c r="R111" s="122">
        <v>-3</v>
      </c>
      <c r="S111" s="122">
        <f>-31.5-4.3</f>
        <v>-35.799999999999997</v>
      </c>
      <c r="T111" s="122">
        <f>-30.2-2.5</f>
        <v>-32.700000000000003</v>
      </c>
      <c r="U111" s="122">
        <f>-30.2-2.5</f>
        <v>-32.700000000000003</v>
      </c>
      <c r="V111" s="122">
        <f>-19.2+9</f>
        <v>-10.199999999999999</v>
      </c>
      <c r="W111" s="122">
        <f>-6.3+22.5</f>
        <v>16.2</v>
      </c>
      <c r="X111" s="122">
        <f>-10.7+18.2</f>
        <v>7.5</v>
      </c>
      <c r="Y111" s="122">
        <f>0+29.3</f>
        <v>29.3</v>
      </c>
      <c r="Z111" s="122">
        <v>32.700000000000003</v>
      </c>
      <c r="AA111" s="122">
        <f>0.8+29.8</f>
        <v>30.6</v>
      </c>
      <c r="AB111" s="122">
        <v>54</v>
      </c>
      <c r="AC111" s="122">
        <v>45.2</v>
      </c>
      <c r="AD111" s="122">
        <v>35.4</v>
      </c>
      <c r="AE111" s="122">
        <v>-16.899999999999999</v>
      </c>
      <c r="AF111" s="122">
        <v>-26.6</v>
      </c>
      <c r="AG111" s="121">
        <v>240</v>
      </c>
      <c r="AH111" s="52">
        <f t="shared" si="33"/>
        <v>54</v>
      </c>
      <c r="AI111" s="53">
        <f t="shared" si="34"/>
        <v>-49</v>
      </c>
    </row>
    <row r="112" spans="1:88" x14ac:dyDescent="0.25">
      <c r="A112" s="110" t="s">
        <v>120</v>
      </c>
      <c r="B112" s="122">
        <v>31.7</v>
      </c>
      <c r="C112" s="122">
        <v>31.7</v>
      </c>
      <c r="D112" s="122">
        <v>27.74</v>
      </c>
      <c r="E112" s="122">
        <v>13.2</v>
      </c>
      <c r="F112" s="122">
        <v>16</v>
      </c>
      <c r="G112" s="122">
        <v>15.6</v>
      </c>
      <c r="H112" s="122">
        <v>21.2</v>
      </c>
      <c r="I112" s="122">
        <v>28.2</v>
      </c>
      <c r="J112" s="122">
        <v>34.6</v>
      </c>
      <c r="K112" s="122">
        <v>38.799999999999997</v>
      </c>
      <c r="L112" s="122">
        <v>38</v>
      </c>
      <c r="M112" s="122">
        <v>39.1</v>
      </c>
      <c r="N112" s="122">
        <v>39</v>
      </c>
      <c r="O112" s="122">
        <v>40.1</v>
      </c>
      <c r="P112" s="122">
        <v>33.799999999999997</v>
      </c>
      <c r="Q112" s="122">
        <v>32.5</v>
      </c>
      <c r="R112" s="122">
        <v>42.8</v>
      </c>
      <c r="S112" s="122">
        <v>40.4</v>
      </c>
      <c r="T112" s="122">
        <v>40.5</v>
      </c>
      <c r="U112" s="122">
        <v>40.5</v>
      </c>
      <c r="V112" s="122">
        <v>114.9</v>
      </c>
      <c r="W112" s="122">
        <v>52.2</v>
      </c>
      <c r="X112" s="122">
        <v>47</v>
      </c>
      <c r="Y112" s="122">
        <v>55</v>
      </c>
      <c r="Z112" s="122">
        <v>57.6</v>
      </c>
      <c r="AA112" s="122">
        <v>56.4</v>
      </c>
      <c r="AB112" s="122">
        <v>55</v>
      </c>
      <c r="AC112" s="122">
        <v>49.9</v>
      </c>
      <c r="AD112" s="122">
        <v>47.4</v>
      </c>
      <c r="AE112" s="122">
        <v>41</v>
      </c>
      <c r="AF112" s="122">
        <v>34.299999999999997</v>
      </c>
      <c r="AG112" s="121">
        <v>60</v>
      </c>
      <c r="AH112" s="52">
        <f t="shared" si="33"/>
        <v>114.9</v>
      </c>
      <c r="AI112" s="53">
        <f t="shared" si="34"/>
        <v>13.2</v>
      </c>
    </row>
    <row r="113" spans="1:37" x14ac:dyDescent="0.25">
      <c r="A113" s="123" t="s">
        <v>121</v>
      </c>
      <c r="B113" s="124">
        <v>82.9</v>
      </c>
      <c r="C113" s="124">
        <v>87.4</v>
      </c>
      <c r="D113" s="124">
        <v>87</v>
      </c>
      <c r="E113" s="124">
        <v>93.9</v>
      </c>
      <c r="F113" s="124">
        <v>91.9</v>
      </c>
      <c r="G113" s="124">
        <v>97.4</v>
      </c>
      <c r="H113" s="124">
        <v>97.9</v>
      </c>
      <c r="I113" s="124">
        <v>106.3</v>
      </c>
      <c r="J113" s="124">
        <v>106.4</v>
      </c>
      <c r="K113" s="124">
        <v>109.8</v>
      </c>
      <c r="L113" s="124">
        <v>120.6</v>
      </c>
      <c r="M113" s="124">
        <v>106.1</v>
      </c>
      <c r="N113" s="124">
        <v>115.7</v>
      </c>
      <c r="O113" s="124">
        <v>112</v>
      </c>
      <c r="P113" s="124">
        <v>110</v>
      </c>
      <c r="Q113" s="124">
        <v>101.5</v>
      </c>
      <c r="R113" s="124">
        <v>114</v>
      </c>
      <c r="S113" s="124">
        <v>114.1</v>
      </c>
      <c r="T113" s="124">
        <v>116.7</v>
      </c>
      <c r="U113" s="124">
        <v>116.7</v>
      </c>
      <c r="V113" s="124">
        <v>114.9</v>
      </c>
      <c r="W113" s="124">
        <v>91.8</v>
      </c>
      <c r="X113" s="124">
        <v>118</v>
      </c>
      <c r="Y113" s="124">
        <v>118.9</v>
      </c>
      <c r="Z113" s="124">
        <v>113.8</v>
      </c>
      <c r="AA113" s="124">
        <v>107.8</v>
      </c>
      <c r="AB113" s="124">
        <v>115.6</v>
      </c>
      <c r="AC113" s="124">
        <v>116</v>
      </c>
      <c r="AD113" s="124">
        <v>100.5</v>
      </c>
      <c r="AE113" s="124">
        <v>91.6</v>
      </c>
      <c r="AF113" s="124">
        <v>115.5</v>
      </c>
      <c r="AG113" s="125">
        <v>120</v>
      </c>
      <c r="AH113" s="52">
        <f t="shared" si="33"/>
        <v>120.6</v>
      </c>
      <c r="AI113" s="53">
        <f t="shared" si="34"/>
        <v>82.9</v>
      </c>
    </row>
    <row r="114" spans="1:37" x14ac:dyDescent="0.25">
      <c r="A114" s="123" t="s">
        <v>122</v>
      </c>
      <c r="B114" s="124">
        <v>105</v>
      </c>
      <c r="C114" s="124">
        <v>104</v>
      </c>
      <c r="D114" s="124">
        <v>106</v>
      </c>
      <c r="E114" s="124">
        <v>113.6</v>
      </c>
      <c r="F114" s="124">
        <v>107.2</v>
      </c>
      <c r="G114" s="124">
        <v>110.1</v>
      </c>
      <c r="H114" s="124">
        <v>108.2</v>
      </c>
      <c r="I114" s="124">
        <v>95</v>
      </c>
      <c r="J114" s="124">
        <v>76</v>
      </c>
      <c r="K114" s="124">
        <v>74.8</v>
      </c>
      <c r="L114" s="124">
        <v>81.900000000000006</v>
      </c>
      <c r="M114" s="124">
        <v>71.2</v>
      </c>
      <c r="N114" s="124">
        <v>79.599999999999994</v>
      </c>
      <c r="O114" s="124">
        <v>78</v>
      </c>
      <c r="P114" s="124">
        <v>92.5</v>
      </c>
      <c r="Q114" s="124">
        <v>78.900000000000006</v>
      </c>
      <c r="R114" s="124">
        <v>108</v>
      </c>
      <c r="S114" s="124">
        <v>112.6</v>
      </c>
      <c r="T114" s="124">
        <v>110.7</v>
      </c>
      <c r="U114" s="124">
        <v>110.7</v>
      </c>
      <c r="V114" s="124">
        <v>99.5</v>
      </c>
      <c r="W114" s="124">
        <v>91.8</v>
      </c>
      <c r="X114" s="124">
        <v>92.3</v>
      </c>
      <c r="Y114" s="124">
        <v>77.400000000000006</v>
      </c>
      <c r="Z114" s="124">
        <v>84.7</v>
      </c>
      <c r="AA114" s="124">
        <v>84.1</v>
      </c>
      <c r="AB114" s="124">
        <v>78.5</v>
      </c>
      <c r="AC114" s="124">
        <v>80.599999999999994</v>
      </c>
      <c r="AD114" s="124">
        <v>71</v>
      </c>
      <c r="AE114" s="124">
        <v>91.3</v>
      </c>
      <c r="AF114" s="124">
        <v>115.9</v>
      </c>
      <c r="AG114" s="125"/>
      <c r="AH114" s="52">
        <f t="shared" si="33"/>
        <v>115.9</v>
      </c>
      <c r="AI114" s="53">
        <f t="shared" si="34"/>
        <v>71</v>
      </c>
    </row>
    <row r="115" spans="1:37" x14ac:dyDescent="0.25">
      <c r="A115" s="123" t="s">
        <v>123</v>
      </c>
      <c r="B115" s="124">
        <v>58.9</v>
      </c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>
        <v>37.5</v>
      </c>
      <c r="Q115" s="124"/>
      <c r="R115" s="124">
        <v>41</v>
      </c>
      <c r="S115" s="124">
        <v>43.6</v>
      </c>
      <c r="T115" s="124"/>
      <c r="U115" s="124"/>
      <c r="V115" s="124"/>
      <c r="W115" s="124"/>
      <c r="X115" s="124"/>
      <c r="Y115" s="124"/>
      <c r="Z115" s="124"/>
      <c r="AA115" s="124"/>
      <c r="AB115" s="124">
        <v>39.799999999999997</v>
      </c>
      <c r="AC115" s="124">
        <v>55.7</v>
      </c>
      <c r="AD115" s="124">
        <v>56.9</v>
      </c>
      <c r="AE115" s="124">
        <v>50.7</v>
      </c>
      <c r="AF115" s="124"/>
      <c r="AG115" s="126"/>
      <c r="AH115" s="52">
        <f t="shared" si="33"/>
        <v>58.9</v>
      </c>
      <c r="AI115" s="53">
        <f t="shared" si="34"/>
        <v>37.5</v>
      </c>
    </row>
    <row r="116" spans="1:37" x14ac:dyDescent="0.25">
      <c r="A116" s="127" t="s">
        <v>124</v>
      </c>
      <c r="B116" s="113">
        <v>-15</v>
      </c>
      <c r="C116" s="113">
        <v>-10.8</v>
      </c>
      <c r="D116" s="113">
        <v>-14.8</v>
      </c>
      <c r="E116" s="113">
        <v>-13.1</v>
      </c>
      <c r="F116" s="113">
        <v>-12.7</v>
      </c>
      <c r="G116" s="113">
        <v>-10.6</v>
      </c>
      <c r="H116" s="113">
        <v>-14.4</v>
      </c>
      <c r="I116" s="113">
        <v>-20.7</v>
      </c>
      <c r="J116" s="113">
        <v>-22.5</v>
      </c>
      <c r="K116" s="113">
        <v>-31.5</v>
      </c>
      <c r="L116" s="113">
        <v>-41.7</v>
      </c>
      <c r="M116" s="113">
        <v>-49.5</v>
      </c>
      <c r="N116" s="113">
        <v>-56.9</v>
      </c>
      <c r="O116" s="113">
        <v>-54.3</v>
      </c>
      <c r="P116" s="113">
        <v>-48</v>
      </c>
      <c r="Q116" s="113">
        <v>-33.1</v>
      </c>
      <c r="R116" s="113">
        <v>-44</v>
      </c>
      <c r="S116" s="113">
        <v>-50.2</v>
      </c>
      <c r="T116" s="113">
        <v>-45.5</v>
      </c>
      <c r="U116" s="113">
        <v>-45.5</v>
      </c>
      <c r="V116" s="113">
        <v>-31.8</v>
      </c>
      <c r="W116" s="113">
        <v>-40</v>
      </c>
      <c r="X116" s="113">
        <v>-36.5</v>
      </c>
      <c r="Y116" s="113">
        <v>-44.8</v>
      </c>
      <c r="Z116" s="113">
        <v>-45.8</v>
      </c>
      <c r="AA116" s="113">
        <v>-43.4</v>
      </c>
      <c r="AB116" s="113">
        <v>-38.299999999999997</v>
      </c>
      <c r="AC116" s="113">
        <v>-34.6</v>
      </c>
      <c r="AD116" s="113">
        <v>-29.9</v>
      </c>
      <c r="AE116" s="113">
        <v>-16.399999999999999</v>
      </c>
      <c r="AF116" s="113">
        <v>-15.1</v>
      </c>
      <c r="AG116" s="126"/>
      <c r="AH116" s="52">
        <f t="shared" si="33"/>
        <v>-10.6</v>
      </c>
      <c r="AI116" s="53">
        <f t="shared" si="34"/>
        <v>-56.9</v>
      </c>
    </row>
    <row r="117" spans="1:37" ht="15.75" thickBot="1" x14ac:dyDescent="0.3">
      <c r="A117" s="127" t="s">
        <v>125</v>
      </c>
      <c r="B117" s="113">
        <v>95</v>
      </c>
      <c r="C117" s="113">
        <v>93.9</v>
      </c>
      <c r="D117" s="113">
        <v>92.7</v>
      </c>
      <c r="E117" s="113">
        <v>79.5</v>
      </c>
      <c r="F117" s="113">
        <v>76.400000000000006</v>
      </c>
      <c r="G117" s="113">
        <v>78</v>
      </c>
      <c r="H117" s="113">
        <v>79.099999999999994</v>
      </c>
      <c r="I117" s="113">
        <v>82.2</v>
      </c>
      <c r="J117" s="113">
        <v>83.2</v>
      </c>
      <c r="K117" s="113">
        <v>94.5</v>
      </c>
      <c r="L117" s="113">
        <v>104.2</v>
      </c>
      <c r="M117" s="113">
        <v>103.3</v>
      </c>
      <c r="N117" s="113">
        <v>100</v>
      </c>
      <c r="O117" s="113">
        <v>108.9</v>
      </c>
      <c r="P117" s="113">
        <v>113.8</v>
      </c>
      <c r="Q117" s="113">
        <v>105.4</v>
      </c>
      <c r="R117" s="113">
        <v>114.9</v>
      </c>
      <c r="S117" s="113">
        <v>110.3</v>
      </c>
      <c r="T117" s="113">
        <v>108.6</v>
      </c>
      <c r="U117" s="113">
        <v>108.6</v>
      </c>
      <c r="V117" s="113">
        <v>99.8</v>
      </c>
      <c r="W117" s="113">
        <v>95.5</v>
      </c>
      <c r="X117" s="113">
        <v>96.4</v>
      </c>
      <c r="Y117" s="113">
        <v>104.6</v>
      </c>
      <c r="Z117" s="113">
        <v>110.7</v>
      </c>
      <c r="AA117" s="113">
        <v>108.7</v>
      </c>
      <c r="AB117" s="113">
        <v>107</v>
      </c>
      <c r="AC117" s="113">
        <v>106</v>
      </c>
      <c r="AD117" s="113">
        <v>104.6</v>
      </c>
      <c r="AE117" s="113">
        <v>109.2</v>
      </c>
      <c r="AF117" s="113">
        <v>109.2</v>
      </c>
      <c r="AG117" s="126"/>
      <c r="AH117" s="52">
        <f t="shared" si="33"/>
        <v>114.9</v>
      </c>
      <c r="AI117" s="53">
        <f t="shared" si="34"/>
        <v>76.400000000000006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52">SUM(B119:B223)</f>
        <v>0</v>
      </c>
      <c r="C224" s="144">
        <f t="shared" si="52"/>
        <v>0</v>
      </c>
      <c r="D224" s="144">
        <f t="shared" si="52"/>
        <v>0</v>
      </c>
      <c r="E224" s="144">
        <f t="shared" si="52"/>
        <v>0</v>
      </c>
      <c r="F224" s="144">
        <f t="shared" si="52"/>
        <v>0</v>
      </c>
      <c r="G224" s="144">
        <f t="shared" si="52"/>
        <v>0</v>
      </c>
      <c r="H224" s="144">
        <f t="shared" si="52"/>
        <v>0</v>
      </c>
      <c r="I224" s="144">
        <f t="shared" si="52"/>
        <v>0</v>
      </c>
      <c r="J224" s="144">
        <f t="shared" si="52"/>
        <v>0</v>
      </c>
      <c r="K224" s="144">
        <f t="shared" si="52"/>
        <v>0</v>
      </c>
      <c r="L224" s="144">
        <f t="shared" si="52"/>
        <v>0</v>
      </c>
      <c r="M224" s="144">
        <f t="shared" si="52"/>
        <v>0</v>
      </c>
      <c r="N224" s="144">
        <f t="shared" si="52"/>
        <v>0</v>
      </c>
      <c r="O224" s="144">
        <f t="shared" si="52"/>
        <v>0</v>
      </c>
      <c r="P224" s="144">
        <f t="shared" si="52"/>
        <v>0</v>
      </c>
      <c r="Q224" s="144">
        <f t="shared" si="52"/>
        <v>0</v>
      </c>
      <c r="R224" s="144">
        <f t="shared" si="52"/>
        <v>0</v>
      </c>
      <c r="S224" s="144">
        <f t="shared" si="52"/>
        <v>0</v>
      </c>
      <c r="T224" s="144">
        <f t="shared" si="52"/>
        <v>0</v>
      </c>
      <c r="U224" s="144">
        <f t="shared" si="52"/>
        <v>0</v>
      </c>
      <c r="V224" s="144">
        <f t="shared" si="52"/>
        <v>0</v>
      </c>
      <c r="W224" s="144">
        <f t="shared" si="52"/>
        <v>0</v>
      </c>
      <c r="X224" s="144">
        <f t="shared" si="52"/>
        <v>0</v>
      </c>
      <c r="Y224" s="144">
        <f t="shared" si="52"/>
        <v>0</v>
      </c>
      <c r="Z224" s="144">
        <f t="shared" si="52"/>
        <v>0</v>
      </c>
      <c r="AA224" s="144">
        <f t="shared" si="52"/>
        <v>0</v>
      </c>
      <c r="AB224" s="144">
        <f t="shared" si="52"/>
        <v>0</v>
      </c>
      <c r="AC224" s="144">
        <f t="shared" si="52"/>
        <v>0</v>
      </c>
      <c r="AD224" s="144">
        <f t="shared" si="52"/>
        <v>0</v>
      </c>
      <c r="AE224" s="144">
        <f t="shared" si="52"/>
        <v>0</v>
      </c>
      <c r="AF224" s="145">
        <f t="shared" si="52"/>
        <v>0</v>
      </c>
      <c r="AG224" s="146">
        <f t="shared" si="52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53">AF226</f>
        <v>0</v>
      </c>
      <c r="C226" s="149">
        <v>0.3</v>
      </c>
      <c r="D226" s="149">
        <f t="shared" ref="D226:P231" si="54">C226</f>
        <v>0.3</v>
      </c>
      <c r="E226" s="149">
        <f t="shared" si="54"/>
        <v>0.3</v>
      </c>
      <c r="F226" s="149">
        <f t="shared" si="54"/>
        <v>0.3</v>
      </c>
      <c r="G226" s="149">
        <f t="shared" si="54"/>
        <v>0.3</v>
      </c>
      <c r="H226" s="149">
        <f t="shared" si="54"/>
        <v>0.3</v>
      </c>
      <c r="I226" s="149">
        <f t="shared" si="54"/>
        <v>0.3</v>
      </c>
      <c r="J226" s="149">
        <f t="shared" si="54"/>
        <v>0.3</v>
      </c>
      <c r="K226" s="149">
        <f t="shared" si="54"/>
        <v>0.3</v>
      </c>
      <c r="L226" s="149">
        <f t="shared" si="54"/>
        <v>0.3</v>
      </c>
      <c r="M226" s="149">
        <f t="shared" si="54"/>
        <v>0.3</v>
      </c>
      <c r="N226" s="149">
        <f t="shared" si="54"/>
        <v>0.3</v>
      </c>
      <c r="O226" s="149">
        <f t="shared" si="54"/>
        <v>0.3</v>
      </c>
      <c r="P226" s="149">
        <f t="shared" si="54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53"/>
        <v>0</v>
      </c>
      <c r="C227" s="136">
        <v>0.4</v>
      </c>
      <c r="D227" s="136">
        <f t="shared" si="54"/>
        <v>0.4</v>
      </c>
      <c r="E227" s="136">
        <f t="shared" si="54"/>
        <v>0.4</v>
      </c>
      <c r="F227" s="136">
        <f t="shared" si="54"/>
        <v>0.4</v>
      </c>
      <c r="G227" s="136">
        <f t="shared" si="54"/>
        <v>0.4</v>
      </c>
      <c r="H227" s="136">
        <f t="shared" si="54"/>
        <v>0.4</v>
      </c>
      <c r="I227" s="136">
        <f t="shared" si="54"/>
        <v>0.4</v>
      </c>
      <c r="J227" s="136">
        <f t="shared" si="54"/>
        <v>0.4</v>
      </c>
      <c r="K227" s="136">
        <f t="shared" si="54"/>
        <v>0.4</v>
      </c>
      <c r="L227" s="136">
        <f t="shared" si="54"/>
        <v>0.4</v>
      </c>
      <c r="M227" s="136">
        <f t="shared" si="54"/>
        <v>0.4</v>
      </c>
      <c r="N227" s="136">
        <f t="shared" si="54"/>
        <v>0.4</v>
      </c>
      <c r="O227" s="136">
        <f t="shared" si="54"/>
        <v>0.4</v>
      </c>
      <c r="P227" s="136">
        <f t="shared" si="54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53"/>
        <v>0</v>
      </c>
      <c r="C228" s="136">
        <v>1.5</v>
      </c>
      <c r="D228" s="136">
        <f t="shared" si="54"/>
        <v>1.5</v>
      </c>
      <c r="E228" s="136">
        <f t="shared" si="54"/>
        <v>1.5</v>
      </c>
      <c r="F228" s="136">
        <f t="shared" si="54"/>
        <v>1.5</v>
      </c>
      <c r="G228" s="136">
        <f t="shared" si="54"/>
        <v>1.5</v>
      </c>
      <c r="H228" s="136">
        <f t="shared" si="54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54"/>
        <v>1.5</v>
      </c>
      <c r="K228" s="136">
        <f t="shared" ca="1" si="54"/>
        <v>1.5</v>
      </c>
      <c r="L228" s="136">
        <f t="shared" ca="1" si="54"/>
        <v>1.5</v>
      </c>
      <c r="M228" s="136">
        <f t="shared" ca="1" si="54"/>
        <v>1.5</v>
      </c>
      <c r="N228" s="136">
        <f t="shared" ca="1" si="54"/>
        <v>1.5</v>
      </c>
      <c r="O228" s="136">
        <f t="shared" ca="1" si="54"/>
        <v>1.5</v>
      </c>
      <c r="P228" s="136">
        <f t="shared" ca="1" si="54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53"/>
        <v>0</v>
      </c>
      <c r="C229" s="136">
        <v>0.3</v>
      </c>
      <c r="D229" s="136">
        <f t="shared" si="54"/>
        <v>0.3</v>
      </c>
      <c r="E229" s="136">
        <f t="shared" si="54"/>
        <v>0.3</v>
      </c>
      <c r="F229" s="136">
        <f t="shared" si="54"/>
        <v>0.3</v>
      </c>
      <c r="G229" s="136">
        <f t="shared" si="54"/>
        <v>0.3</v>
      </c>
      <c r="H229" s="136">
        <f t="shared" si="54"/>
        <v>0.3</v>
      </c>
      <c r="I229" s="136">
        <f t="shared" si="54"/>
        <v>0.3</v>
      </c>
      <c r="J229" s="136">
        <f t="shared" si="54"/>
        <v>0.3</v>
      </c>
      <c r="K229" s="136">
        <f t="shared" si="54"/>
        <v>0.3</v>
      </c>
      <c r="L229" s="136">
        <f t="shared" si="54"/>
        <v>0.3</v>
      </c>
      <c r="M229" s="136">
        <f t="shared" si="54"/>
        <v>0.3</v>
      </c>
      <c r="N229" s="136">
        <f t="shared" si="54"/>
        <v>0.3</v>
      </c>
      <c r="O229" s="136">
        <f t="shared" si="54"/>
        <v>0.3</v>
      </c>
      <c r="P229" s="136">
        <f t="shared" si="54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53"/>
        <v>0</v>
      </c>
      <c r="C230" s="136">
        <v>0.4</v>
      </c>
      <c r="D230" s="136">
        <f t="shared" si="54"/>
        <v>0.4</v>
      </c>
      <c r="E230" s="136">
        <f t="shared" si="54"/>
        <v>0.4</v>
      </c>
      <c r="F230" s="136">
        <f t="shared" si="54"/>
        <v>0.4</v>
      </c>
      <c r="G230" s="136">
        <f t="shared" si="54"/>
        <v>0.4</v>
      </c>
      <c r="H230" s="136">
        <f t="shared" si="54"/>
        <v>0.4</v>
      </c>
      <c r="I230" s="136">
        <f t="shared" si="54"/>
        <v>0.4</v>
      </c>
      <c r="J230" s="136">
        <f t="shared" si="54"/>
        <v>0.4</v>
      </c>
      <c r="K230" s="136">
        <f t="shared" si="54"/>
        <v>0.4</v>
      </c>
      <c r="L230" s="136">
        <f t="shared" si="54"/>
        <v>0.4</v>
      </c>
      <c r="M230" s="136">
        <f t="shared" si="54"/>
        <v>0.4</v>
      </c>
      <c r="N230" s="136">
        <f t="shared" si="54"/>
        <v>0.4</v>
      </c>
      <c r="O230" s="136">
        <f t="shared" si="54"/>
        <v>0.4</v>
      </c>
      <c r="P230" s="136">
        <f t="shared" si="54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53"/>
        <v>0</v>
      </c>
      <c r="C231" s="140">
        <v>0.64</v>
      </c>
      <c r="D231" s="140">
        <f t="shared" si="54"/>
        <v>0.64</v>
      </c>
      <c r="E231" s="140">
        <f t="shared" si="54"/>
        <v>0.64</v>
      </c>
      <c r="F231" s="140">
        <f t="shared" si="54"/>
        <v>0.64</v>
      </c>
      <c r="G231" s="140">
        <f t="shared" si="54"/>
        <v>0.64</v>
      </c>
      <c r="H231" s="140">
        <f t="shared" si="54"/>
        <v>0.64</v>
      </c>
      <c r="I231" s="140">
        <f t="shared" si="54"/>
        <v>0.64</v>
      </c>
      <c r="J231" s="140">
        <f t="shared" si="54"/>
        <v>0.64</v>
      </c>
      <c r="K231" s="140">
        <f t="shared" si="54"/>
        <v>0.64</v>
      </c>
      <c r="L231" s="140">
        <f t="shared" si="54"/>
        <v>0.64</v>
      </c>
      <c r="M231" s="140">
        <f t="shared" si="54"/>
        <v>0.64</v>
      </c>
      <c r="N231" s="140">
        <f t="shared" si="54"/>
        <v>0.64</v>
      </c>
      <c r="O231" s="140">
        <f t="shared" si="54"/>
        <v>0.64</v>
      </c>
      <c r="P231" s="140">
        <f t="shared" si="54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55">SUM(B226:B231)</f>
        <v>0</v>
      </c>
      <c r="C232" s="144">
        <f t="shared" si="55"/>
        <v>3.54</v>
      </c>
      <c r="D232" s="144">
        <f t="shared" si="55"/>
        <v>3.54</v>
      </c>
      <c r="E232" s="144">
        <f t="shared" si="55"/>
        <v>3.54</v>
      </c>
      <c r="F232" s="144">
        <f t="shared" si="55"/>
        <v>3.54</v>
      </c>
      <c r="G232" s="144">
        <f t="shared" si="55"/>
        <v>3.54</v>
      </c>
      <c r="H232" s="144">
        <f t="shared" si="55"/>
        <v>3.54</v>
      </c>
      <c r="I232" s="144">
        <f t="shared" ca="1" si="55"/>
        <v>3.54</v>
      </c>
      <c r="J232" s="144">
        <f t="shared" ca="1" si="55"/>
        <v>3.54</v>
      </c>
      <c r="K232" s="144">
        <f t="shared" ca="1" si="55"/>
        <v>3.54</v>
      </c>
      <c r="L232" s="144">
        <f t="shared" ca="1" si="55"/>
        <v>3.54</v>
      </c>
      <c r="M232" s="144">
        <f t="shared" ca="1" si="55"/>
        <v>3.54</v>
      </c>
      <c r="N232" s="144">
        <f t="shared" ca="1" si="55"/>
        <v>3.54</v>
      </c>
      <c r="O232" s="144">
        <f t="shared" ca="1" si="55"/>
        <v>3.54</v>
      </c>
      <c r="P232" s="144">
        <f t="shared" ca="1" si="55"/>
        <v>3.54</v>
      </c>
      <c r="Q232" s="144">
        <f t="shared" si="55"/>
        <v>0</v>
      </c>
      <c r="R232" s="144">
        <f t="shared" si="55"/>
        <v>0</v>
      </c>
      <c r="S232" s="144">
        <f t="shared" si="55"/>
        <v>0</v>
      </c>
      <c r="T232" s="144">
        <f t="shared" si="55"/>
        <v>0</v>
      </c>
      <c r="U232" s="144">
        <f t="shared" si="55"/>
        <v>0</v>
      </c>
      <c r="V232" s="144">
        <f t="shared" si="55"/>
        <v>0</v>
      </c>
      <c r="W232" s="144">
        <f t="shared" si="55"/>
        <v>0</v>
      </c>
      <c r="X232" s="144">
        <f t="shared" si="55"/>
        <v>0</v>
      </c>
      <c r="Y232" s="144">
        <f t="shared" si="55"/>
        <v>0</v>
      </c>
      <c r="Z232" s="144">
        <f t="shared" si="55"/>
        <v>0</v>
      </c>
      <c r="AA232" s="144">
        <f t="shared" si="55"/>
        <v>0</v>
      </c>
      <c r="AB232" s="144">
        <f t="shared" si="55"/>
        <v>0</v>
      </c>
      <c r="AC232" s="144">
        <f t="shared" si="55"/>
        <v>0</v>
      </c>
      <c r="AD232" s="144">
        <f t="shared" si="55"/>
        <v>0</v>
      </c>
      <c r="AE232" s="144">
        <f t="shared" si="55"/>
        <v>0</v>
      </c>
      <c r="AF232" s="144">
        <f t="shared" si="55"/>
        <v>0</v>
      </c>
      <c r="AG232" s="154">
        <f t="shared" si="55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1511.44</v>
      </c>
      <c r="C241" s="170">
        <f>INDEX(G9:N9,1,MATCH(MAX(G89:N89),G89:N89,0))</f>
        <v>0.3125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14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2079/12/14)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2079/12/14)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56">B89</f>
        <v>1344.8799999999999</v>
      </c>
      <c r="U246" s="180">
        <f t="shared" si="56"/>
        <v>1333.24</v>
      </c>
      <c r="V246" s="180">
        <f t="shared" si="56"/>
        <v>1322.34</v>
      </c>
      <c r="W246" s="180">
        <f t="shared" si="56"/>
        <v>1315.94</v>
      </c>
      <c r="X246" s="180">
        <f t="shared" si="56"/>
        <v>1287.1399999999999</v>
      </c>
      <c r="Y246" s="180">
        <f t="shared" si="56"/>
        <v>1325.74</v>
      </c>
      <c r="Z246" s="180">
        <f t="shared" si="56"/>
        <v>1369.14</v>
      </c>
      <c r="AA246" s="180">
        <f t="shared" si="56"/>
        <v>1379.04</v>
      </c>
      <c r="AB246" s="180">
        <f t="shared" si="56"/>
        <v>1400.1399999999999</v>
      </c>
      <c r="AC246" s="180">
        <f t="shared" si="56"/>
        <v>1444.84</v>
      </c>
      <c r="AD246" s="180">
        <f t="shared" si="56"/>
        <v>1511.44</v>
      </c>
      <c r="AE246" s="180">
        <f t="shared" si="56"/>
        <v>1483.04</v>
      </c>
      <c r="AF246" s="180">
        <f t="shared" si="56"/>
        <v>1468.1399999999999</v>
      </c>
      <c r="AG246" s="180">
        <f t="shared" si="56"/>
        <v>1490.54</v>
      </c>
      <c r="AH246" s="180">
        <f t="shared" si="56"/>
        <v>1532.3400000000001</v>
      </c>
      <c r="AI246" s="180">
        <f t="shared" si="56"/>
        <v>1495.04</v>
      </c>
      <c r="AJ246" s="180">
        <f t="shared" si="56"/>
        <v>1494.8400000000001</v>
      </c>
      <c r="AK246" s="180">
        <f t="shared" si="56"/>
        <v>1558.24</v>
      </c>
      <c r="AL246" s="180">
        <f t="shared" si="56"/>
        <v>1575.54</v>
      </c>
      <c r="AM246" s="180">
        <f t="shared" si="56"/>
        <v>1572.94</v>
      </c>
      <c r="AN246" s="180">
        <f t="shared" si="56"/>
        <v>1551.54</v>
      </c>
      <c r="AO246" s="180">
        <f t="shared" si="56"/>
        <v>1528.74</v>
      </c>
      <c r="AP246" s="180">
        <f t="shared" si="56"/>
        <v>1542.1399999999999</v>
      </c>
      <c r="AQ246" s="180">
        <f t="shared" si="56"/>
        <v>1520.04</v>
      </c>
      <c r="AR246" s="180">
        <f t="shared" si="56"/>
        <v>1711.44</v>
      </c>
      <c r="AS246" s="180">
        <f t="shared" si="56"/>
        <v>1673.44</v>
      </c>
      <c r="AT246" s="180">
        <f t="shared" si="56"/>
        <v>1693.7399999999998</v>
      </c>
      <c r="AU246" s="180">
        <f t="shared" si="56"/>
        <v>1358.6399999999999</v>
      </c>
      <c r="AV246" s="180">
        <f t="shared" si="56"/>
        <v>1312.34</v>
      </c>
      <c r="AW246" s="180">
        <f t="shared" si="56"/>
        <v>1321.34</v>
      </c>
      <c r="AX246" s="180">
        <f t="shared" si="56"/>
        <v>1405.9399999999998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57">C231</f>
        <v>0.64</v>
      </c>
      <c r="C267" s="183">
        <f t="shared" si="57"/>
        <v>0.64</v>
      </c>
      <c r="D267" s="183">
        <f t="shared" si="57"/>
        <v>0.64</v>
      </c>
      <c r="E267" s="183">
        <f t="shared" si="57"/>
        <v>0.64</v>
      </c>
      <c r="F267" s="183">
        <f t="shared" si="57"/>
        <v>0.64</v>
      </c>
      <c r="G267" s="183">
        <f t="shared" si="57"/>
        <v>0.64</v>
      </c>
      <c r="H267" s="183">
        <f t="shared" si="57"/>
        <v>0.64</v>
      </c>
      <c r="I267" s="183">
        <f t="shared" si="57"/>
        <v>0.64</v>
      </c>
      <c r="J267" s="183">
        <f t="shared" si="57"/>
        <v>0.64</v>
      </c>
      <c r="K267" s="183">
        <f t="shared" si="57"/>
        <v>0.64</v>
      </c>
      <c r="L267" s="183">
        <f t="shared" si="57"/>
        <v>0.64</v>
      </c>
      <c r="M267" s="183">
        <f t="shared" si="57"/>
        <v>0.64</v>
      </c>
      <c r="N267" s="183">
        <f t="shared" si="57"/>
        <v>0.64</v>
      </c>
      <c r="O267" s="183">
        <f t="shared" si="57"/>
        <v>0.64</v>
      </c>
      <c r="P267" s="183">
        <f t="shared" si="57"/>
        <v>0</v>
      </c>
      <c r="Q267" s="183">
        <f t="shared" si="57"/>
        <v>0</v>
      </c>
      <c r="R267" s="183">
        <f t="shared" si="57"/>
        <v>0</v>
      </c>
      <c r="S267" s="183">
        <f t="shared" si="57"/>
        <v>0</v>
      </c>
      <c r="T267" s="183">
        <f t="shared" si="57"/>
        <v>0</v>
      </c>
      <c r="U267" s="183">
        <f t="shared" si="57"/>
        <v>0</v>
      </c>
      <c r="V267" s="183">
        <f t="shared" si="57"/>
        <v>0</v>
      </c>
      <c r="W267" s="183">
        <f t="shared" si="57"/>
        <v>0</v>
      </c>
      <c r="X267" s="183">
        <f t="shared" si="57"/>
        <v>0</v>
      </c>
      <c r="Y267" s="183">
        <f t="shared" si="57"/>
        <v>0</v>
      </c>
      <c r="Z267" s="183">
        <f t="shared" si="57"/>
        <v>0</v>
      </c>
      <c r="AA267" s="183">
        <f t="shared" si="57"/>
        <v>0</v>
      </c>
      <c r="AB267" s="183">
        <f t="shared" si="57"/>
        <v>0</v>
      </c>
      <c r="AC267" s="183">
        <f t="shared" si="57"/>
        <v>0</v>
      </c>
      <c r="AD267" s="183">
        <f t="shared" si="57"/>
        <v>0</v>
      </c>
      <c r="AE267" s="183">
        <f t="shared" si="57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58">IF(B235&lt;100,"",B235-520)</f>
        <v/>
      </c>
      <c r="C268" s="184" t="str">
        <f t="shared" si="58"/>
        <v/>
      </c>
      <c r="D268" s="184" t="str">
        <f t="shared" si="58"/>
        <v/>
      </c>
      <c r="E268" s="184" t="str">
        <f t="shared" si="58"/>
        <v/>
      </c>
      <c r="F268" s="184" t="str">
        <f t="shared" si="58"/>
        <v/>
      </c>
      <c r="G268" s="184" t="str">
        <f t="shared" si="58"/>
        <v/>
      </c>
      <c r="H268" s="184" t="str">
        <f t="shared" si="58"/>
        <v/>
      </c>
      <c r="I268" s="184" t="str">
        <f t="shared" si="58"/>
        <v/>
      </c>
      <c r="J268" s="184" t="str">
        <f t="shared" si="58"/>
        <v/>
      </c>
      <c r="K268" s="184" t="str">
        <f t="shared" si="58"/>
        <v/>
      </c>
      <c r="L268" s="184" t="str">
        <f t="shared" si="58"/>
        <v/>
      </c>
      <c r="M268" s="184" t="str">
        <f t="shared" si="58"/>
        <v/>
      </c>
      <c r="N268" s="184" t="str">
        <f t="shared" si="58"/>
        <v/>
      </c>
      <c r="O268" s="184" t="str">
        <f t="shared" si="58"/>
        <v/>
      </c>
      <c r="P268" s="184" t="str">
        <f t="shared" si="58"/>
        <v/>
      </c>
      <c r="Q268" s="184" t="str">
        <f t="shared" si="58"/>
        <v/>
      </c>
      <c r="R268" s="184" t="str">
        <f t="shared" si="58"/>
        <v/>
      </c>
      <c r="S268" s="184" t="str">
        <f t="shared" si="58"/>
        <v/>
      </c>
      <c r="T268" s="184" t="str">
        <f t="shared" si="58"/>
        <v/>
      </c>
      <c r="U268" s="184" t="str">
        <f t="shared" si="58"/>
        <v/>
      </c>
      <c r="V268" s="184" t="str">
        <f t="shared" si="58"/>
        <v/>
      </c>
      <c r="W268" s="184" t="str">
        <f t="shared" si="58"/>
        <v/>
      </c>
      <c r="X268" s="184" t="str">
        <f t="shared" si="58"/>
        <v/>
      </c>
      <c r="Y268" s="184" t="str">
        <f t="shared" si="58"/>
        <v/>
      </c>
      <c r="Z268" s="184" t="str">
        <f t="shared" si="58"/>
        <v/>
      </c>
      <c r="AA268" s="184" t="str">
        <f t="shared" si="58"/>
        <v/>
      </c>
      <c r="AB268" s="184" t="str">
        <f t="shared" si="58"/>
        <v/>
      </c>
      <c r="AC268" s="184" t="str">
        <f t="shared" si="58"/>
        <v/>
      </c>
      <c r="AD268" s="184" t="str">
        <f t="shared" si="58"/>
        <v/>
      </c>
      <c r="AE268" s="184" t="str">
        <f t="shared" si="58"/>
        <v/>
      </c>
      <c r="AF268" s="184" t="str">
        <f t="shared" si="58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59">IF(B236&lt;100,"",B236-620)</f>
        <v/>
      </c>
      <c r="C269" s="184" t="str">
        <f t="shared" si="59"/>
        <v/>
      </c>
      <c r="D269" s="184" t="str">
        <f t="shared" si="59"/>
        <v/>
      </c>
      <c r="E269" s="184" t="str">
        <f t="shared" si="59"/>
        <v/>
      </c>
      <c r="F269" s="184" t="str">
        <f t="shared" si="59"/>
        <v/>
      </c>
      <c r="G269" s="184" t="str">
        <f t="shared" si="59"/>
        <v/>
      </c>
      <c r="H269" s="184" t="str">
        <f t="shared" si="59"/>
        <v/>
      </c>
      <c r="I269" s="184" t="str">
        <f t="shared" si="59"/>
        <v/>
      </c>
      <c r="J269" s="184" t="str">
        <f t="shared" si="59"/>
        <v/>
      </c>
      <c r="K269" s="184" t="str">
        <f t="shared" si="59"/>
        <v/>
      </c>
      <c r="L269" s="184" t="str">
        <f t="shared" si="59"/>
        <v/>
      </c>
      <c r="M269" s="184" t="str">
        <f t="shared" si="59"/>
        <v/>
      </c>
      <c r="N269" s="184" t="str">
        <f t="shared" si="59"/>
        <v/>
      </c>
      <c r="O269" s="184" t="str">
        <f t="shared" si="59"/>
        <v/>
      </c>
      <c r="P269" s="184" t="str">
        <f t="shared" si="59"/>
        <v/>
      </c>
      <c r="Q269" s="184" t="str">
        <f t="shared" si="59"/>
        <v/>
      </c>
      <c r="R269" s="184" t="str">
        <f t="shared" si="59"/>
        <v/>
      </c>
      <c r="S269" s="184" t="str">
        <f t="shared" si="59"/>
        <v/>
      </c>
      <c r="T269" s="184" t="str">
        <f t="shared" si="59"/>
        <v/>
      </c>
      <c r="U269" s="184" t="str">
        <f t="shared" si="59"/>
        <v/>
      </c>
      <c r="V269" s="184" t="str">
        <f t="shared" si="59"/>
        <v/>
      </c>
      <c r="W269" s="184" t="str">
        <f t="shared" si="59"/>
        <v/>
      </c>
      <c r="X269" s="184" t="str">
        <f t="shared" si="59"/>
        <v/>
      </c>
      <c r="Y269" s="184" t="str">
        <f t="shared" si="59"/>
        <v/>
      </c>
      <c r="Z269" s="184" t="str">
        <f t="shared" si="59"/>
        <v/>
      </c>
      <c r="AA269" s="184" t="str">
        <f t="shared" si="59"/>
        <v/>
      </c>
      <c r="AB269" s="184" t="str">
        <f t="shared" si="59"/>
        <v/>
      </c>
      <c r="AC269" s="184" t="str">
        <f t="shared" si="59"/>
        <v/>
      </c>
      <c r="AD269" s="184" t="str">
        <f t="shared" si="59"/>
        <v/>
      </c>
      <c r="AE269" s="184" t="str">
        <f t="shared" si="59"/>
        <v/>
      </c>
      <c r="AF269" s="184" t="str">
        <f t="shared" si="59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60">IF(B237&lt;100,"",B237-330)</f>
        <v/>
      </c>
      <c r="C270" s="184" t="str">
        <f t="shared" si="60"/>
        <v/>
      </c>
      <c r="D270" s="184" t="str">
        <f t="shared" si="60"/>
        <v/>
      </c>
      <c r="E270" s="184" t="str">
        <f t="shared" si="60"/>
        <v/>
      </c>
      <c r="F270" s="184" t="str">
        <f t="shared" si="60"/>
        <v/>
      </c>
      <c r="G270" s="184" t="str">
        <f t="shared" si="60"/>
        <v/>
      </c>
      <c r="H270" s="184" t="str">
        <f t="shared" si="60"/>
        <v/>
      </c>
      <c r="I270" s="184" t="str">
        <f t="shared" si="60"/>
        <v/>
      </c>
      <c r="J270" s="184" t="str">
        <f t="shared" si="60"/>
        <v/>
      </c>
      <c r="K270" s="184" t="str">
        <f t="shared" si="60"/>
        <v/>
      </c>
      <c r="L270" s="184" t="str">
        <f t="shared" si="60"/>
        <v/>
      </c>
      <c r="M270" s="184" t="str">
        <f t="shared" si="60"/>
        <v/>
      </c>
      <c r="N270" s="184" t="str">
        <f t="shared" si="60"/>
        <v/>
      </c>
      <c r="O270" s="184" t="str">
        <f t="shared" si="60"/>
        <v/>
      </c>
      <c r="P270" s="184" t="str">
        <f t="shared" si="60"/>
        <v/>
      </c>
      <c r="Q270" s="184" t="str">
        <f t="shared" si="60"/>
        <v/>
      </c>
      <c r="R270" s="184" t="str">
        <f t="shared" si="60"/>
        <v/>
      </c>
      <c r="S270" s="184" t="str">
        <f t="shared" si="60"/>
        <v/>
      </c>
      <c r="T270" s="184" t="str">
        <f t="shared" si="60"/>
        <v/>
      </c>
      <c r="U270" s="184" t="str">
        <f t="shared" si="60"/>
        <v/>
      </c>
      <c r="V270" s="184" t="str">
        <f t="shared" si="60"/>
        <v/>
      </c>
      <c r="W270" s="184" t="str">
        <f t="shared" si="60"/>
        <v/>
      </c>
      <c r="X270" s="184" t="str">
        <f t="shared" si="60"/>
        <v/>
      </c>
      <c r="Y270" s="184" t="str">
        <f t="shared" si="60"/>
        <v/>
      </c>
      <c r="Z270" s="184" t="str">
        <f t="shared" si="60"/>
        <v/>
      </c>
      <c r="AA270" s="184" t="str">
        <f t="shared" si="60"/>
        <v/>
      </c>
      <c r="AB270" s="184" t="str">
        <f t="shared" si="60"/>
        <v/>
      </c>
      <c r="AC270" s="184" t="str">
        <f t="shared" si="60"/>
        <v/>
      </c>
      <c r="AD270" s="184" t="str">
        <f t="shared" si="60"/>
        <v/>
      </c>
      <c r="AE270" s="184" t="str">
        <f t="shared" si="60"/>
        <v/>
      </c>
      <c r="AF270" s="184" t="str">
        <f t="shared" si="60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61">IF(B238&lt;100,"",B238-1500)</f>
        <v/>
      </c>
      <c r="C271" s="184" t="str">
        <f t="shared" si="61"/>
        <v/>
      </c>
      <c r="D271" s="184" t="str">
        <f t="shared" si="61"/>
        <v/>
      </c>
      <c r="E271" s="184" t="str">
        <f t="shared" si="61"/>
        <v/>
      </c>
      <c r="F271" s="184" t="str">
        <f t="shared" si="61"/>
        <v/>
      </c>
      <c r="G271" s="184" t="str">
        <f t="shared" si="61"/>
        <v/>
      </c>
      <c r="H271" s="184" t="str">
        <f t="shared" si="61"/>
        <v/>
      </c>
      <c r="I271" s="184" t="str">
        <f t="shared" si="61"/>
        <v/>
      </c>
      <c r="J271" s="184" t="str">
        <f t="shared" si="61"/>
        <v/>
      </c>
      <c r="K271" s="184" t="str">
        <f t="shared" si="61"/>
        <v/>
      </c>
      <c r="L271" s="184" t="str">
        <f t="shared" si="61"/>
        <v/>
      </c>
      <c r="M271" s="184" t="str">
        <f t="shared" si="61"/>
        <v/>
      </c>
      <c r="N271" s="184" t="str">
        <f t="shared" si="61"/>
        <v/>
      </c>
      <c r="O271" s="184" t="str">
        <f t="shared" si="61"/>
        <v/>
      </c>
      <c r="P271" s="184" t="str">
        <f t="shared" si="61"/>
        <v/>
      </c>
      <c r="Q271" s="184" t="str">
        <f t="shared" si="61"/>
        <v/>
      </c>
      <c r="R271" s="184" t="str">
        <f t="shared" si="61"/>
        <v/>
      </c>
      <c r="S271" s="184" t="str">
        <f t="shared" si="61"/>
        <v/>
      </c>
      <c r="T271" s="184" t="str">
        <f t="shared" si="61"/>
        <v/>
      </c>
      <c r="U271" s="184" t="str">
        <f t="shared" si="61"/>
        <v/>
      </c>
      <c r="V271" s="184" t="str">
        <f t="shared" si="61"/>
        <v/>
      </c>
      <c r="W271" s="184" t="str">
        <f t="shared" si="61"/>
        <v/>
      </c>
      <c r="X271" s="184" t="str">
        <f t="shared" si="61"/>
        <v/>
      </c>
      <c r="Y271" s="184" t="str">
        <f t="shared" si="61"/>
        <v/>
      </c>
      <c r="Z271" s="184" t="str">
        <f t="shared" si="61"/>
        <v/>
      </c>
      <c r="AA271" s="184" t="str">
        <f t="shared" si="61"/>
        <v/>
      </c>
      <c r="AB271" s="184" t="str">
        <f t="shared" si="61"/>
        <v/>
      </c>
      <c r="AC271" s="184" t="str">
        <f t="shared" si="61"/>
        <v/>
      </c>
      <c r="AD271" s="184" t="str">
        <f t="shared" si="61"/>
        <v/>
      </c>
      <c r="AE271" s="184" t="str">
        <f t="shared" si="61"/>
        <v/>
      </c>
      <c r="AF271" s="184" t="str">
        <f t="shared" si="61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5157" priority="339">
      <formula>B$9&gt;=20/24</formula>
    </cfRule>
    <cfRule type="expression" dxfId="5156" priority="340">
      <formula>AND(B$9&gt;=14/24,B$9&lt;20/24)</formula>
    </cfRule>
    <cfRule type="expression" dxfId="5155" priority="341">
      <formula>AND(B$9&gt;=8/24,B$9&lt;14/24)</formula>
    </cfRule>
    <cfRule type="expression" dxfId="5154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5153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5152" priority="336">
      <formula>$AH12=0</formula>
    </cfRule>
  </conditionalFormatting>
  <conditionalFormatting sqref="A114">
    <cfRule type="expression" dxfId="5151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5150" priority="333">
      <formula>$AH45=0</formula>
    </cfRule>
  </conditionalFormatting>
  <conditionalFormatting sqref="A98">
    <cfRule type="expression" dxfId="5149" priority="332">
      <formula>$AH98=0</formula>
    </cfRule>
  </conditionalFormatting>
  <conditionalFormatting sqref="A18">
    <cfRule type="expression" dxfId="5148" priority="331">
      <formula>$AH18=0</formula>
    </cfRule>
  </conditionalFormatting>
  <conditionalFormatting sqref="A196:A201">
    <cfRule type="expression" dxfId="5147" priority="330">
      <formula>$AH196=0</formula>
    </cfRule>
  </conditionalFormatting>
  <conditionalFormatting sqref="A190:A195">
    <cfRule type="expression" dxfId="5146" priority="329">
      <formula>$AH190=0</formula>
    </cfRule>
  </conditionalFormatting>
  <conditionalFormatting sqref="A58">
    <cfRule type="expression" dxfId="5145" priority="328">
      <formula>$AH58=0</formula>
    </cfRule>
  </conditionalFormatting>
  <conditionalFormatting sqref="A94">
    <cfRule type="expression" dxfId="5144" priority="327">
      <formula>$AH94=0</formula>
    </cfRule>
  </conditionalFormatting>
  <conditionalFormatting sqref="AD99:AF99 E99:X99">
    <cfRule type="expression" dxfId="5143" priority="323">
      <formula>E$9&gt;=20/24</formula>
    </cfRule>
    <cfRule type="expression" dxfId="5142" priority="324">
      <formula>AND(E$9&gt;=14/24,E$9&lt;20/24)</formula>
    </cfRule>
    <cfRule type="expression" dxfId="5141" priority="325">
      <formula>AND(E$9&gt;=8/24,E$9&lt;14/24)</formula>
    </cfRule>
    <cfRule type="expression" dxfId="5140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139" priority="345">
      <formula>C$9&gt;=20/24</formula>
    </cfRule>
    <cfRule type="expression" dxfId="5138" priority="346">
      <formula>AND(C$9&gt;=14/24,C$9&lt;20/24)</formula>
    </cfRule>
    <cfRule type="expression" dxfId="5137" priority="347">
      <formula>AND(C$9&gt;=8/24,C$9&lt;14/24)</formula>
    </cfRule>
    <cfRule type="expression" dxfId="5136" priority="348">
      <formula>C$9&lt;8/24</formula>
    </cfRule>
  </conditionalFormatting>
  <conditionalFormatting sqref="A233">
    <cfRule type="expression" dxfId="5135" priority="349">
      <formula>$AH233=0</formula>
    </cfRule>
  </conditionalFormatting>
  <conditionalFormatting sqref="AG245">
    <cfRule type="expression" dxfId="5134" priority="350">
      <formula>B$9&gt;=20/24</formula>
    </cfRule>
    <cfRule type="expression" dxfId="5133" priority="351">
      <formula>AND(B$9&gt;=14/24,B$9&lt;20/24)</formula>
    </cfRule>
    <cfRule type="expression" dxfId="5132" priority="352">
      <formula>AND(B$9&gt;=8/24,B$9&lt;14/24)</formula>
    </cfRule>
    <cfRule type="expression" dxfId="5131" priority="353">
      <formula>B$9&lt;8/24</formula>
    </cfRule>
  </conditionalFormatting>
  <conditionalFormatting sqref="S8">
    <cfRule type="expression" dxfId="5130" priority="318">
      <formula>U$9&gt;=20/24</formula>
    </cfRule>
    <cfRule type="expression" dxfId="5129" priority="319">
      <formula>AND(U$9&gt;=14/24,U$9&lt;20/24)</formula>
    </cfRule>
    <cfRule type="expression" dxfId="5128" priority="320">
      <formula>AND(U$9&gt;=8/24,U$9&lt;14/24)</formula>
    </cfRule>
    <cfRule type="expression" dxfId="5127" priority="321">
      <formula>U$9&lt;8/24</formula>
    </cfRule>
  </conditionalFormatting>
  <conditionalFormatting sqref="AB8">
    <cfRule type="expression" dxfId="5126" priority="314">
      <formula>AD$9&gt;=20/24</formula>
    </cfRule>
    <cfRule type="expression" dxfId="5125" priority="315">
      <formula>AND(AD$9&gt;=14/24,AD$9&lt;20/24)</formula>
    </cfRule>
    <cfRule type="expression" dxfId="5124" priority="316">
      <formula>AND(AD$9&gt;=8/24,AD$9&lt;14/24)</formula>
    </cfRule>
    <cfRule type="expression" dxfId="5123" priority="317">
      <formula>AD$9&lt;8/24</formula>
    </cfRule>
  </conditionalFormatting>
  <conditionalFormatting sqref="AH245:AX245">
    <cfRule type="expression" dxfId="5122" priority="354">
      <formula>AG$9&gt;=20/24</formula>
    </cfRule>
    <cfRule type="expression" dxfId="5121" priority="355">
      <formula>AND(AG$9&gt;=14/24,AG$9&lt;20/24)</formula>
    </cfRule>
    <cfRule type="expression" dxfId="5120" priority="356">
      <formula>AND(AG$9&gt;=8/24,AG$9&lt;14/24)</formula>
    </cfRule>
    <cfRule type="expression" dxfId="5119" priority="357">
      <formula>AG$9&lt;8/24</formula>
    </cfRule>
  </conditionalFormatting>
  <conditionalFormatting sqref="T245">
    <cfRule type="expression" dxfId="5118" priority="358">
      <formula>AX$9&gt;=20/24</formula>
    </cfRule>
    <cfRule type="expression" dxfId="5117" priority="359">
      <formula>AND(AX$9&gt;=14/24,AX$9&lt;20/24)</formula>
    </cfRule>
    <cfRule type="expression" dxfId="5116" priority="360">
      <formula>AND(AX$9&gt;=8/24,AX$9&lt;14/24)</formula>
    </cfRule>
    <cfRule type="expression" dxfId="5115" priority="361">
      <formula>AX$9&lt;8/24</formula>
    </cfRule>
  </conditionalFormatting>
  <conditionalFormatting sqref="A115:A116">
    <cfRule type="expression" dxfId="5114" priority="313">
      <formula>$AH115=0</formula>
    </cfRule>
  </conditionalFormatting>
  <conditionalFormatting sqref="E71:AF71 AB54:AF56">
    <cfRule type="expression" dxfId="5113" priority="309">
      <formula>E$9&gt;=20/24</formula>
    </cfRule>
    <cfRule type="expression" dxfId="5112" priority="310">
      <formula>AND(E$9&gt;=14/24,E$9&lt;20/24)</formula>
    </cfRule>
    <cfRule type="expression" dxfId="5111" priority="311">
      <formula>AND(E$9&gt;=8/24,E$9&lt;14/24)</formula>
    </cfRule>
    <cfRule type="expression" dxfId="5110" priority="312">
      <formula>E$9&lt;8/24</formula>
    </cfRule>
  </conditionalFormatting>
  <conditionalFormatting sqref="AB53:AF53">
    <cfRule type="expression" dxfId="5109" priority="305">
      <formula>AB$9&gt;=20/24</formula>
    </cfRule>
    <cfRule type="expression" dxfId="5108" priority="306">
      <formula>AND(AB$9&gt;=14/24,AB$9&lt;20/24)</formula>
    </cfRule>
    <cfRule type="expression" dxfId="5107" priority="307">
      <formula>AND(AB$9&gt;=8/24,AB$9&lt;14/24)</formula>
    </cfRule>
    <cfRule type="expression" dxfId="5106" priority="308">
      <formula>AB$9&lt;8/24</formula>
    </cfRule>
  </conditionalFormatting>
  <conditionalFormatting sqref="AB53:AF56">
    <cfRule type="expression" dxfId="5105" priority="304">
      <formula>AB53&gt;$AG53</formula>
    </cfRule>
  </conditionalFormatting>
  <conditionalFormatting sqref="M100:X106 Y96:AF96 E72:AF73 Y47:AF47 D86:AF86 Y74:AF74 Z67:AF69 AE100:AF106">
    <cfRule type="expression" dxfId="5104" priority="300">
      <formula>D$9&gt;=20/24</formula>
    </cfRule>
    <cfRule type="expression" dxfId="5103" priority="301">
      <formula>AND(D$9&gt;=14/24,D$9&lt;20/24)</formula>
    </cfRule>
    <cfRule type="expression" dxfId="5102" priority="302">
      <formula>AND(D$9&gt;=8/24,D$9&lt;14/24)</formula>
    </cfRule>
    <cfRule type="expression" dxfId="5101" priority="303">
      <formula>D$9&lt;8/24</formula>
    </cfRule>
  </conditionalFormatting>
  <conditionalFormatting sqref="Y47:AF47 Z67:AF69">
    <cfRule type="expression" dxfId="5100" priority="299">
      <formula>Y47&gt;$AG47</formula>
    </cfRule>
  </conditionalFormatting>
  <conditionalFormatting sqref="Z53:AA58 AB57:AF58">
    <cfRule type="expression" dxfId="5099" priority="295">
      <formula>Z$9&gt;=20/24</formula>
    </cfRule>
    <cfRule type="expression" dxfId="5098" priority="296">
      <formula>AND(Z$9&gt;=14/24,Z$9&lt;20/24)</formula>
    </cfRule>
    <cfRule type="expression" dxfId="5097" priority="297">
      <formula>AND(Z$9&gt;=8/24,Z$9&lt;14/24)</formula>
    </cfRule>
    <cfRule type="expression" dxfId="5096" priority="298">
      <formula>Z$9&lt;8/24</formula>
    </cfRule>
  </conditionalFormatting>
  <conditionalFormatting sqref="Z53:AA58 AB57:AF58">
    <cfRule type="expression" dxfId="5095" priority="294">
      <formula>Z53&gt;$AG53</formula>
    </cfRule>
  </conditionalFormatting>
  <conditionalFormatting sqref="C97:AF97 D88:AF88">
    <cfRule type="expression" dxfId="5094" priority="290">
      <formula>C$9&gt;=20/24</formula>
    </cfRule>
    <cfRule type="expression" dxfId="5093" priority="291">
      <formula>AND(C$9&gt;=14/24,C$9&lt;20/24)</formula>
    </cfRule>
    <cfRule type="expression" dxfId="5092" priority="292">
      <formula>AND(C$9&gt;=8/24,C$9&lt;14/24)</formula>
    </cfRule>
    <cfRule type="expression" dxfId="5091" priority="293">
      <formula>C$9&lt;8/24</formula>
    </cfRule>
  </conditionalFormatting>
  <conditionalFormatting sqref="T47:X47">
    <cfRule type="expression" dxfId="5090" priority="286">
      <formula>T$9&gt;=20/24</formula>
    </cfRule>
    <cfRule type="expression" dxfId="5089" priority="287">
      <formula>AND(T$9&gt;=14/24,T$9&lt;20/24)</formula>
    </cfRule>
    <cfRule type="expression" dxfId="5088" priority="288">
      <formula>AND(T$9&gt;=8/24,T$9&lt;14/24)</formula>
    </cfRule>
    <cfRule type="expression" dxfId="5087" priority="289">
      <formula>T$9&lt;8/24</formula>
    </cfRule>
  </conditionalFormatting>
  <conditionalFormatting sqref="T47:X47">
    <cfRule type="expression" dxfId="5086" priority="285">
      <formula>T47&gt;$AG47</formula>
    </cfRule>
  </conditionalFormatting>
  <conditionalFormatting sqref="E54:Y55">
    <cfRule type="expression" dxfId="5085" priority="281">
      <formula>E$9&gt;=20/24</formula>
    </cfRule>
    <cfRule type="expression" dxfId="5084" priority="282">
      <formula>AND(E$9&gt;=14/24,E$9&lt;20/24)</formula>
    </cfRule>
    <cfRule type="expression" dxfId="5083" priority="283">
      <formula>AND(E$9&gt;=8/24,E$9&lt;14/24)</formula>
    </cfRule>
    <cfRule type="expression" dxfId="5082" priority="284">
      <formula>E$9&lt;8/24</formula>
    </cfRule>
  </conditionalFormatting>
  <conditionalFormatting sqref="E53:Y53">
    <cfRule type="expression" dxfId="5081" priority="277">
      <formula>E$9&gt;=20/24</formula>
    </cfRule>
    <cfRule type="expression" dxfId="5080" priority="278">
      <formula>AND(E$9&gt;=14/24,E$9&lt;20/24)</formula>
    </cfRule>
    <cfRule type="expression" dxfId="5079" priority="279">
      <formula>AND(E$9&gt;=8/24,E$9&lt;14/24)</formula>
    </cfRule>
    <cfRule type="expression" dxfId="5078" priority="280">
      <formula>E$9&lt;8/24</formula>
    </cfRule>
  </conditionalFormatting>
  <conditionalFormatting sqref="E53:Y55">
    <cfRule type="expression" dxfId="5077" priority="276">
      <formula>E53&gt;$AG53</formula>
    </cfRule>
  </conditionalFormatting>
  <conditionalFormatting sqref="AG70 AG87 E100:L106 R67:Y69">
    <cfRule type="expression" dxfId="5076" priority="272">
      <formula>E$9&gt;=20/24</formula>
    </cfRule>
    <cfRule type="expression" dxfId="5075" priority="273">
      <formula>AND(E$9&gt;=14/24,E$9&lt;20/24)</formula>
    </cfRule>
    <cfRule type="expression" dxfId="5074" priority="274">
      <formula>AND(E$9&gt;=8/24,E$9&lt;14/24)</formula>
    </cfRule>
    <cfRule type="expression" dxfId="5073" priority="275">
      <formula>E$9&lt;8/24</formula>
    </cfRule>
  </conditionalFormatting>
  <conditionalFormatting sqref="AG48 AG66 AG70 R67:Y69">
    <cfRule type="expression" dxfId="5072" priority="271">
      <formula>R48&gt;$AG48</formula>
    </cfRule>
  </conditionalFormatting>
  <conditionalFormatting sqref="A43">
    <cfRule type="expression" dxfId="5071" priority="265">
      <formula>$AH43=0</formula>
    </cfRule>
  </conditionalFormatting>
  <conditionalFormatting sqref="Y91:AF95">
    <cfRule type="expression" dxfId="5070" priority="261">
      <formula>Y$9&gt;=20/24</formula>
    </cfRule>
    <cfRule type="expression" dxfId="5069" priority="262">
      <formula>AND(Y$9&gt;=14/24,Y$9&lt;20/24)</formula>
    </cfRule>
    <cfRule type="expression" dxfId="5068" priority="263">
      <formula>AND(Y$9&gt;=8/24,Y$9&lt;14/24)</formula>
    </cfRule>
    <cfRule type="expression" dxfId="5067" priority="264">
      <formula>Y$9&lt;8/24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5066" priority="257">
      <formula>E$9&gt;=20/24</formula>
    </cfRule>
    <cfRule type="expression" dxfId="5065" priority="258">
      <formula>AND(E$9&gt;=14/24,E$9&lt;20/24)</formula>
    </cfRule>
    <cfRule type="expression" dxfId="5064" priority="259">
      <formula>AND(E$9&gt;=8/24,E$9&lt;14/24)</formula>
    </cfRule>
    <cfRule type="expression" dxfId="5063" priority="260">
      <formula>E$9&lt;8/24</formula>
    </cfRule>
  </conditionalFormatting>
  <conditionalFormatting sqref="E49:AF51">
    <cfRule type="expression" dxfId="5062" priority="256">
      <formula>E49&gt;$AG49</formula>
    </cfRule>
  </conditionalFormatting>
  <conditionalFormatting sqref="AG52">
    <cfRule type="expression" dxfId="5061" priority="252">
      <formula>AG$9&gt;=20/24</formula>
    </cfRule>
    <cfRule type="expression" dxfId="5060" priority="253">
      <formula>AND(AG$9&gt;=14/24,AG$9&lt;20/24)</formula>
    </cfRule>
    <cfRule type="expression" dxfId="5059" priority="254">
      <formula>AND(AG$9&gt;=8/24,AG$9&lt;14/24)</formula>
    </cfRule>
    <cfRule type="expression" dxfId="5058" priority="255">
      <formula>AG$9&lt;8/24</formula>
    </cfRule>
  </conditionalFormatting>
  <conditionalFormatting sqref="AG52">
    <cfRule type="expression" dxfId="5057" priority="251">
      <formula>AG52&gt;$AG52</formula>
    </cfRule>
  </conditionalFormatting>
  <conditionalFormatting sqref="C107:AF107">
    <cfRule type="expression" dxfId="5056" priority="247">
      <formula>C$9&gt;=20/24</formula>
    </cfRule>
    <cfRule type="expression" dxfId="5055" priority="248">
      <formula>AND(C$9&gt;=14/24,C$9&lt;20/24)</formula>
    </cfRule>
    <cfRule type="expression" dxfId="5054" priority="249">
      <formula>AND(C$9&gt;=8/24,C$9&lt;14/24)</formula>
    </cfRule>
    <cfRule type="expression" dxfId="5053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5052" priority="245">
      <formula>$AH40=0</formula>
    </cfRule>
  </conditionalFormatting>
  <conditionalFormatting sqref="A90">
    <cfRule type="expression" dxfId="5051" priority="243">
      <formula>$AH90=0</formula>
    </cfRule>
  </conditionalFormatting>
  <conditionalFormatting sqref="A87">
    <cfRule type="expression" dxfId="5050" priority="244">
      <formula>$AH87=0</formula>
    </cfRule>
  </conditionalFormatting>
  <conditionalFormatting sqref="D110:AF110">
    <cfRule type="expression" dxfId="5049" priority="239">
      <formula>D$9&gt;=20/24</formula>
    </cfRule>
    <cfRule type="expression" dxfId="5048" priority="240">
      <formula>AND(D$9&gt;=14/24,D$9&lt;20/24)</formula>
    </cfRule>
    <cfRule type="expression" dxfId="5047" priority="241">
      <formula>AND(D$9&gt;=8/24,D$9&lt;14/24)</formula>
    </cfRule>
    <cfRule type="expression" dxfId="5046" priority="242">
      <formula>D$9&lt;8/24</formula>
    </cfRule>
  </conditionalFormatting>
  <conditionalFormatting sqref="A110">
    <cfRule type="expression" dxfId="5045" priority="238">
      <formula>$AH110=0</formula>
    </cfRule>
  </conditionalFormatting>
  <conditionalFormatting sqref="A21">
    <cfRule type="expression" dxfId="5044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043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5042" priority="230">
      <formula>Y$9&gt;=20/24</formula>
    </cfRule>
    <cfRule type="expression" dxfId="5041" priority="231">
      <formula>AND(Y$9&gt;=14/24,Y$9&lt;20/24)</formula>
    </cfRule>
    <cfRule type="expression" dxfId="5040" priority="232">
      <formula>AND(Y$9&gt;=8/24,Y$9&lt;14/24)</formula>
    </cfRule>
    <cfRule type="expression" dxfId="5039" priority="233">
      <formula>Y$9&lt;8/24</formula>
    </cfRule>
  </conditionalFormatting>
  <conditionalFormatting sqref="Y100:AD106">
    <cfRule type="expression" dxfId="5038" priority="226">
      <formula>Y$9&gt;=20/24</formula>
    </cfRule>
    <cfRule type="expression" dxfId="5037" priority="227">
      <formula>AND(Y$9&gt;=14/24,Y$9&lt;20/24)</formula>
    </cfRule>
    <cfRule type="expression" dxfId="5036" priority="228">
      <formula>AND(Y$9&gt;=8/24,Y$9&lt;14/24)</formula>
    </cfRule>
    <cfRule type="expression" dxfId="5035" priority="229">
      <formula>Y$9&lt;8/24</formula>
    </cfRule>
  </conditionalFormatting>
  <conditionalFormatting sqref="C109 C111:C116 Z34:AF43 Z17:AF32">
    <cfRule type="expression" dxfId="5034" priority="222">
      <formula>C$9&gt;=20/24</formula>
    </cfRule>
    <cfRule type="expression" dxfId="5033" priority="223">
      <formula>AND(C$9&gt;=14/24,C$9&lt;20/24)</formula>
    </cfRule>
    <cfRule type="expression" dxfId="5032" priority="224">
      <formula>AND(C$9&gt;=8/24,C$9&lt;14/24)</formula>
    </cfRule>
    <cfRule type="expression" dxfId="5031" priority="225">
      <formula>C$9&lt;8/24</formula>
    </cfRule>
  </conditionalFormatting>
  <conditionalFormatting sqref="C47:S47">
    <cfRule type="expression" dxfId="5030" priority="218">
      <formula>C$9&gt;=20/24</formula>
    </cfRule>
    <cfRule type="expression" dxfId="5029" priority="219">
      <formula>AND(C$9&gt;=14/24,C$9&lt;20/24)</formula>
    </cfRule>
    <cfRule type="expression" dxfId="5028" priority="220">
      <formula>AND(C$9&gt;=8/24,C$9&lt;14/24)</formula>
    </cfRule>
    <cfRule type="expression" dxfId="5027" priority="221">
      <formula>C$9&lt;8/24</formula>
    </cfRule>
  </conditionalFormatting>
  <conditionalFormatting sqref="C47:S47 Z34:AF43 Z17:AF32">
    <cfRule type="expression" dxfId="5026" priority="217">
      <formula>C17&gt;$AG17</formula>
    </cfRule>
  </conditionalFormatting>
  <conditionalFormatting sqref="C99:D99">
    <cfRule type="expression" dxfId="5025" priority="213">
      <formula>C$9&gt;=20/24</formula>
    </cfRule>
    <cfRule type="expression" dxfId="5024" priority="214">
      <formula>AND(C$9&gt;=14/24,C$9&lt;20/24)</formula>
    </cfRule>
    <cfRule type="expression" dxfId="5023" priority="215">
      <formula>AND(C$9&gt;=8/24,C$9&lt;14/24)</formula>
    </cfRule>
    <cfRule type="expression" dxfId="5022" priority="216">
      <formula>C$9&lt;8/24</formula>
    </cfRule>
  </conditionalFormatting>
  <conditionalFormatting sqref="C86 D100:D106 E67:Q69 C96:X96 E74:X76 C83:AF85 Y75:AF76">
    <cfRule type="expression" dxfId="5021" priority="209">
      <formula>C$9&gt;=20/24</formula>
    </cfRule>
    <cfRule type="expression" dxfId="5020" priority="210">
      <formula>AND(C$9&gt;=14/24,C$9&lt;20/24)</formula>
    </cfRule>
    <cfRule type="expression" dxfId="5019" priority="211">
      <formula>AND(C$9&gt;=8/24,C$9&lt;14/24)</formula>
    </cfRule>
    <cfRule type="expression" dxfId="5018" priority="212">
      <formula>C$9&lt;8/24</formula>
    </cfRule>
  </conditionalFormatting>
  <conditionalFormatting sqref="E56:L56 F57:L57 E67:Q69 M56:Y57">
    <cfRule type="expression" dxfId="5017" priority="208">
      <formula>E56&gt;$AG56</formula>
    </cfRule>
  </conditionalFormatting>
  <conditionalFormatting sqref="H58:Y58">
    <cfRule type="expression" dxfId="5016" priority="204">
      <formula>H$9&gt;=20/24</formula>
    </cfRule>
    <cfRule type="expression" dxfId="5015" priority="205">
      <formula>AND(H$9&gt;=14/24,H$9&lt;20/24)</formula>
    </cfRule>
    <cfRule type="expression" dxfId="5014" priority="206">
      <formula>AND(H$9&gt;=8/24,H$9&lt;14/24)</formula>
    </cfRule>
    <cfRule type="expression" dxfId="5013" priority="207">
      <formula>H$9&lt;8/24</formula>
    </cfRule>
  </conditionalFormatting>
  <conditionalFormatting sqref="H58:Y58">
    <cfRule type="expression" dxfId="5012" priority="203">
      <formula>H58&gt;$AG58</formula>
    </cfRule>
  </conditionalFormatting>
  <conditionalFormatting sqref="B71:D71 B54:D57 E57">
    <cfRule type="expression" dxfId="5011" priority="132">
      <formula>B$9&gt;=20/24</formula>
    </cfRule>
    <cfRule type="expression" dxfId="5010" priority="133">
      <formula>AND(B$9&gt;=14/24,B$9&lt;20/24)</formula>
    </cfRule>
    <cfRule type="expression" dxfId="5009" priority="134">
      <formula>AND(B$9&gt;=8/24,B$9&lt;14/24)</formula>
    </cfRule>
    <cfRule type="expression" dxfId="5008" priority="135">
      <formula>B$9&lt;8/24</formula>
    </cfRule>
  </conditionalFormatting>
  <conditionalFormatting sqref="M70:AF70 C87:AF87 C89:AF89 C98:AF98">
    <cfRule type="expression" dxfId="5007" priority="199">
      <formula>C$9&gt;=20/24</formula>
    </cfRule>
    <cfRule type="expression" dxfId="5006" priority="200">
      <formula>AND(C$9&gt;=14/24,C$9&lt;20/24)</formula>
    </cfRule>
    <cfRule type="expression" dxfId="5005" priority="201">
      <formula>AND(C$9&gt;=8/24,C$9&lt;14/24)</formula>
    </cfRule>
    <cfRule type="expression" dxfId="5004" priority="202">
      <formula>C$9&lt;8/24</formula>
    </cfRule>
  </conditionalFormatting>
  <conditionalFormatting sqref="M70:AF70 C65:AF66">
    <cfRule type="expression" dxfId="5003" priority="198">
      <formula>C65&gt;$AG65</formula>
    </cfRule>
  </conditionalFormatting>
  <conditionalFormatting sqref="C82:AF82">
    <cfRule type="expression" dxfId="5002" priority="194">
      <formula>C$9&gt;=20/24</formula>
    </cfRule>
    <cfRule type="expression" dxfId="5001" priority="195">
      <formula>AND(C$9&gt;=14/24,C$9&lt;20/24)</formula>
    </cfRule>
    <cfRule type="expression" dxfId="5000" priority="196">
      <formula>AND(C$9&gt;=8/24,C$9&lt;14/24)</formula>
    </cfRule>
    <cfRule type="expression" dxfId="4999" priority="197">
      <formula>C$9&lt;8/24</formula>
    </cfRule>
  </conditionalFormatting>
  <conditionalFormatting sqref="C91:X95">
    <cfRule type="expression" dxfId="4998" priority="190">
      <formula>C$9&gt;=20/24</formula>
    </cfRule>
    <cfRule type="expression" dxfId="4997" priority="191">
      <formula>AND(C$9&gt;=14/24,C$9&lt;20/24)</formula>
    </cfRule>
    <cfRule type="expression" dxfId="4996" priority="192">
      <formula>AND(C$9&gt;=8/24,C$9&lt;14/24)</formula>
    </cfRule>
    <cfRule type="expression" dxfId="4995" priority="193">
      <formula>C$9&lt;8/24</formula>
    </cfRule>
  </conditionalFormatting>
  <conditionalFormatting sqref="C52:AF52">
    <cfRule type="expression" dxfId="4994" priority="186">
      <formula>C$9&gt;=20/24</formula>
    </cfRule>
    <cfRule type="expression" dxfId="4993" priority="187">
      <formula>AND(C$9&gt;=14/24,C$9&lt;20/24)</formula>
    </cfRule>
    <cfRule type="expression" dxfId="4992" priority="188">
      <formula>AND(C$9&gt;=8/24,C$9&lt;14/24)</formula>
    </cfRule>
    <cfRule type="expression" dxfId="4991" priority="189">
      <formula>C$9&lt;8/24</formula>
    </cfRule>
  </conditionalFormatting>
  <conditionalFormatting sqref="C52:AF52">
    <cfRule type="expression" dxfId="4990" priority="185">
      <formula>C52&gt;$AG52</formula>
    </cfRule>
  </conditionalFormatting>
  <conditionalFormatting sqref="B49:D51">
    <cfRule type="expression" dxfId="4989" priority="100">
      <formula>B$9&gt;=20/24</formula>
    </cfRule>
    <cfRule type="expression" dxfId="4988" priority="101">
      <formula>AND(B$9&gt;=14/24,B$9&lt;20/24)</formula>
    </cfRule>
    <cfRule type="expression" dxfId="4987" priority="102">
      <formula>AND(B$9&gt;=8/24,B$9&lt;14/24)</formula>
    </cfRule>
    <cfRule type="expression" dxfId="4986" priority="103">
      <formula>B$9&lt;8/24</formula>
    </cfRule>
  </conditionalFormatting>
  <conditionalFormatting sqref="C110">
    <cfRule type="expression" dxfId="4985" priority="177">
      <formula>C$9&gt;=20/24</formula>
    </cfRule>
    <cfRule type="expression" dxfId="4984" priority="178">
      <formula>AND(C$9&gt;=14/24,C$9&lt;20/24)</formula>
    </cfRule>
    <cfRule type="expression" dxfId="4983" priority="179">
      <formula>AND(C$9&gt;=8/24,C$9&lt;14/24)</formula>
    </cfRule>
    <cfRule type="expression" dxfId="4982" priority="180">
      <formula>C$9&lt;8/24</formula>
    </cfRule>
  </conditionalFormatting>
  <conditionalFormatting sqref="H59:Y59 Z59:AF64">
    <cfRule type="expression" dxfId="4981" priority="173">
      <formula>H$9&gt;=20/24</formula>
    </cfRule>
    <cfRule type="expression" dxfId="4980" priority="174">
      <formula>AND(H$9&gt;=14/24,H$9&lt;20/24)</formula>
    </cfRule>
    <cfRule type="expression" dxfId="4979" priority="175">
      <formula>AND(H$9&gt;=8/24,H$9&lt;14/24)</formula>
    </cfRule>
    <cfRule type="expression" dxfId="4978" priority="176">
      <formula>H$9&lt;8/24</formula>
    </cfRule>
  </conditionalFormatting>
  <conditionalFormatting sqref="H59:Y59 Z59:AF64">
    <cfRule type="expression" dxfId="4977" priority="172">
      <formula>H59&gt;$AG59</formula>
    </cfRule>
  </conditionalFormatting>
  <conditionalFormatting sqref="Z45:AF45 Z13:AF15">
    <cfRule type="expression" dxfId="4976" priority="171">
      <formula>Z13&gt;$AG13</formula>
    </cfRule>
  </conditionalFormatting>
  <conditionalFormatting sqref="Z12:AF12">
    <cfRule type="expression" dxfId="4975" priority="167">
      <formula>Z$9&gt;=20/24</formula>
    </cfRule>
    <cfRule type="expression" dxfId="4974" priority="168">
      <formula>AND(Z$9&gt;=14/24,Z$9&lt;20/24)</formula>
    </cfRule>
    <cfRule type="expression" dxfId="4973" priority="169">
      <formula>AND(Z$9&gt;=8/24,Z$9&lt;14/24)</formula>
    </cfRule>
    <cfRule type="expression" dxfId="4972" priority="170">
      <formula>Z$9&lt;8/24</formula>
    </cfRule>
  </conditionalFormatting>
  <conditionalFormatting sqref="Z12:AF12">
    <cfRule type="expression" dxfId="4971" priority="166">
      <formula>Z12&gt;$AG12</formula>
    </cfRule>
  </conditionalFormatting>
  <conditionalFormatting sqref="Z13:AF15">
    <cfRule type="expression" dxfId="4970" priority="162">
      <formula>Z$9&gt;=20/24</formula>
    </cfRule>
    <cfRule type="expression" dxfId="4969" priority="163">
      <formula>AND(Z$9&gt;=14/24,Z$9&lt;20/24)</formula>
    </cfRule>
    <cfRule type="expression" dxfId="4968" priority="164">
      <formula>AND(Z$9&gt;=8/24,Z$9&lt;14/24)</formula>
    </cfRule>
    <cfRule type="expression" dxfId="4967" priority="165">
      <formula>Z$9&lt;8/24</formula>
    </cfRule>
  </conditionalFormatting>
  <conditionalFormatting sqref="Z45:AF45">
    <cfRule type="expression" dxfId="4966" priority="158">
      <formula>Z$9&gt;=20/24</formula>
    </cfRule>
    <cfRule type="expression" dxfId="4965" priority="159">
      <formula>AND(Z$9&gt;=14/24,Z$9&lt;20/24)</formula>
    </cfRule>
    <cfRule type="expression" dxfId="4964" priority="160">
      <formula>AND(Z$9&gt;=8/24,Z$9&lt;14/24)</formula>
    </cfRule>
    <cfRule type="expression" dxfId="4963" priority="161">
      <formula>Z$9&lt;8/24</formula>
    </cfRule>
  </conditionalFormatting>
  <conditionalFormatting sqref="E77:Y77 Z77:AF81">
    <cfRule type="expression" dxfId="4962" priority="154">
      <formula>E$9&gt;=20/24</formula>
    </cfRule>
    <cfRule type="expression" dxfId="4961" priority="155">
      <formula>AND(E$9&gt;=14/24,E$9&lt;20/24)</formula>
    </cfRule>
    <cfRule type="expression" dxfId="4960" priority="156">
      <formula>AND(E$9&gt;=8/24,E$9&lt;14/24)</formula>
    </cfRule>
    <cfRule type="expression" dxfId="4959" priority="157">
      <formula>E$9&lt;8/24</formula>
    </cfRule>
  </conditionalFormatting>
  <conditionalFormatting sqref="AL78:AN78 AL84:AN84 AN79:AN80">
    <cfRule type="expression" dxfId="4958" priority="150">
      <formula>AL$9&gt;=20/24</formula>
    </cfRule>
    <cfRule type="expression" dxfId="4957" priority="151">
      <formula>AND(AL$9&gt;=14/24,AL$9&lt;20/24)</formula>
    </cfRule>
    <cfRule type="expression" dxfId="4956" priority="152">
      <formula>AND(AL$9&gt;=8/24,AL$9&lt;14/24)</formula>
    </cfRule>
    <cfRule type="expression" dxfId="4955" priority="153">
      <formula>AL$9&lt;8/24</formula>
    </cfRule>
  </conditionalFormatting>
  <conditionalFormatting sqref="AN81:AN82">
    <cfRule type="expression" dxfId="4954" priority="146">
      <formula>AN$9&gt;=20/24</formula>
    </cfRule>
    <cfRule type="expression" dxfId="4953" priority="147">
      <formula>AND(AN$9&gt;=14/24,AN$9&lt;20/24)</formula>
    </cfRule>
    <cfRule type="expression" dxfId="4952" priority="148">
      <formula>AND(AN$9&gt;=8/24,AN$9&lt;14/24)</formula>
    </cfRule>
    <cfRule type="expression" dxfId="4951" priority="149">
      <formula>AN$9&lt;8/24</formula>
    </cfRule>
  </conditionalFormatting>
  <conditionalFormatting sqref="AL79:AM83">
    <cfRule type="expression" dxfId="4950" priority="363">
      <formula>AJ$9&gt;=20/24</formula>
    </cfRule>
    <cfRule type="expression" dxfId="4949" priority="364">
      <formula>AND(AJ$9&gt;=14/24,AJ$9&lt;20/24)</formula>
    </cfRule>
    <cfRule type="expression" dxfId="4948" priority="365">
      <formula>AND(AJ$9&gt;=8/24,AJ$9&lt;14/24)</formula>
    </cfRule>
    <cfRule type="expression" dxfId="4947" priority="366">
      <formula>AJ$9&lt;8/24</formula>
    </cfRule>
  </conditionalFormatting>
  <conditionalFormatting sqref="A117">
    <cfRule type="expression" dxfId="4946" priority="145">
      <formula>$AH117=0</formula>
    </cfRule>
  </conditionalFormatting>
  <conditionalFormatting sqref="B109 B111:B116 B12:Y15 B34:Y43 B45:Y45 B17:Y32">
    <cfRule type="expression" dxfId="4945" priority="141">
      <formula>B$9&gt;=20/24</formula>
    </cfRule>
    <cfRule type="expression" dxfId="4944" priority="142">
      <formula>AND(B$9&gt;=14/24,B$9&lt;20/24)</formula>
    </cfRule>
    <cfRule type="expression" dxfId="4943" priority="143">
      <formula>AND(B$9&gt;=8/24,B$9&lt;14/24)</formula>
    </cfRule>
    <cfRule type="expression" dxfId="4942" priority="144">
      <formula>B$9&lt;8/24</formula>
    </cfRule>
  </conditionalFormatting>
  <conditionalFormatting sqref="B12:Y15 B34:Y43 B45:Y45 B17:Y32">
    <cfRule type="expression" dxfId="4941" priority="140">
      <formula>B12&gt;$AG12</formula>
    </cfRule>
  </conditionalFormatting>
  <conditionalFormatting sqref="B99">
    <cfRule type="expression" dxfId="4940" priority="136">
      <formula>B$9&gt;=20/24</formula>
    </cfRule>
    <cfRule type="expression" dxfId="4939" priority="137">
      <formula>AND(B$9&gt;=14/24,B$9&lt;20/24)</formula>
    </cfRule>
    <cfRule type="expression" dxfId="4938" priority="138">
      <formula>AND(B$9&gt;=8/24,B$9&lt;14/24)</formula>
    </cfRule>
    <cfRule type="expression" dxfId="4937" priority="139">
      <formula>B$9&lt;8/24</formula>
    </cfRule>
  </conditionalFormatting>
  <conditionalFormatting sqref="B53:D53">
    <cfRule type="expression" dxfId="4936" priority="128">
      <formula>B$9&gt;=20/24</formula>
    </cfRule>
    <cfRule type="expression" dxfId="4935" priority="129">
      <formula>AND(B$9&gt;=14/24,B$9&lt;20/24)</formula>
    </cfRule>
    <cfRule type="expression" dxfId="4934" priority="130">
      <formula>AND(B$9&gt;=8/24,B$9&lt;14/24)</formula>
    </cfRule>
    <cfRule type="expression" dxfId="4933" priority="131">
      <formula>B$9&lt;8/24</formula>
    </cfRule>
  </conditionalFormatting>
  <conditionalFormatting sqref="B53:D57 E57">
    <cfRule type="expression" dxfId="4932" priority="127">
      <formula>B53&gt;$AG53</formula>
    </cfRule>
  </conditionalFormatting>
  <conditionalFormatting sqref="B96 B86 B47 B72:D74 B100:C106 B67:D69">
    <cfRule type="expression" dxfId="4931" priority="123">
      <formula>B$9&gt;=20/24</formula>
    </cfRule>
    <cfRule type="expression" dxfId="4930" priority="124">
      <formula>AND(B$9&gt;=14/24,B$9&lt;20/24)</formula>
    </cfRule>
    <cfRule type="expression" dxfId="4929" priority="125">
      <formula>AND(B$9&gt;=8/24,B$9&lt;14/24)</formula>
    </cfRule>
    <cfRule type="expression" dxfId="4928" priority="126">
      <formula>B$9&lt;8/24</formula>
    </cfRule>
  </conditionalFormatting>
  <conditionalFormatting sqref="B47 B67:D69">
    <cfRule type="expression" dxfId="4927" priority="122">
      <formula>B47&gt;$AG47</formula>
    </cfRule>
  </conditionalFormatting>
  <conditionalFormatting sqref="B97 B88:C88">
    <cfRule type="expression" dxfId="4926" priority="118">
      <formula>B$9&gt;=20/24</formula>
    </cfRule>
    <cfRule type="expression" dxfId="4925" priority="119">
      <formula>AND(B$9&gt;=14/24,B$9&lt;20/24)</formula>
    </cfRule>
    <cfRule type="expression" dxfId="4924" priority="120">
      <formula>AND(B$9&gt;=8/24,B$9&lt;14/24)</formula>
    </cfRule>
    <cfRule type="expression" dxfId="4923" priority="121">
      <formula>B$9&lt;8/24</formula>
    </cfRule>
  </conditionalFormatting>
  <conditionalFormatting sqref="B46:AF46">
    <cfRule type="expression" dxfId="4922" priority="114">
      <formula>B$9&gt;=20/24</formula>
    </cfRule>
    <cfRule type="expression" dxfId="4921" priority="115">
      <formula>AND(B$9&gt;=14/24,B$9&lt;20/24)</formula>
    </cfRule>
    <cfRule type="expression" dxfId="4920" priority="116">
      <formula>AND(B$9&gt;=8/24,B$9&lt;14/24)</formula>
    </cfRule>
    <cfRule type="expression" dxfId="4919" priority="117">
      <formula>B$9&lt;8/24</formula>
    </cfRule>
  </conditionalFormatting>
  <conditionalFormatting sqref="B46:AF46">
    <cfRule type="expression" dxfId="4918" priority="113">
      <formula>B46&gt;$AG46</formula>
    </cfRule>
  </conditionalFormatting>
  <conditionalFormatting sqref="B58:G58">
    <cfRule type="expression" dxfId="4917" priority="109">
      <formula>B$9&gt;=20/24</formula>
    </cfRule>
    <cfRule type="expression" dxfId="4916" priority="110">
      <formula>AND(B$9&gt;=14/24,B$9&lt;20/24)</formula>
    </cfRule>
    <cfRule type="expression" dxfId="4915" priority="111">
      <formula>AND(B$9&gt;=8/24,B$9&lt;14/24)</formula>
    </cfRule>
    <cfRule type="expression" dxfId="4914" priority="112">
      <formula>B$9&lt;8/24</formula>
    </cfRule>
  </conditionalFormatting>
  <conditionalFormatting sqref="B58:G58">
    <cfRule type="expression" dxfId="4913" priority="108">
      <formula>B58&gt;$AG58</formula>
    </cfRule>
  </conditionalFormatting>
  <conditionalFormatting sqref="B91:B95">
    <cfRule type="expression" dxfId="4912" priority="104">
      <formula>B$9&gt;=20/24</formula>
    </cfRule>
    <cfRule type="expression" dxfId="4911" priority="105">
      <formula>AND(B$9&gt;=14/24,B$9&lt;20/24)</formula>
    </cfRule>
    <cfRule type="expression" dxfId="4910" priority="106">
      <formula>AND(B$9&gt;=8/24,B$9&lt;14/24)</formula>
    </cfRule>
    <cfRule type="expression" dxfId="4909" priority="107">
      <formula>B$9&lt;8/24</formula>
    </cfRule>
  </conditionalFormatting>
  <conditionalFormatting sqref="B49:D51">
    <cfRule type="expression" dxfId="4908" priority="99">
      <formula>B49&gt;$AG49</formula>
    </cfRule>
  </conditionalFormatting>
  <conditionalFormatting sqref="B107">
    <cfRule type="expression" dxfId="4907" priority="95">
      <formula>B$9&gt;=20/24</formula>
    </cfRule>
    <cfRule type="expression" dxfId="4906" priority="96">
      <formula>AND(B$9&gt;=14/24,B$9&lt;20/24)</formula>
    </cfRule>
    <cfRule type="expression" dxfId="4905" priority="97">
      <formula>AND(B$9&gt;=8/24,B$9&lt;14/24)</formula>
    </cfRule>
    <cfRule type="expression" dxfId="4904" priority="98">
      <formula>B$9&lt;8/24</formula>
    </cfRule>
  </conditionalFormatting>
  <conditionalFormatting sqref="B110">
    <cfRule type="expression" dxfId="4903" priority="91">
      <formula>B$9&gt;=20/24</formula>
    </cfRule>
    <cfRule type="expression" dxfId="4902" priority="92">
      <formula>AND(B$9&gt;=14/24,B$9&lt;20/24)</formula>
    </cfRule>
    <cfRule type="expression" dxfId="4901" priority="93">
      <formula>AND(B$9&gt;=8/24,B$9&lt;14/24)</formula>
    </cfRule>
    <cfRule type="expression" dxfId="4900" priority="94">
      <formula>B$9&lt;8/24</formula>
    </cfRule>
  </conditionalFormatting>
  <conditionalFormatting sqref="B83:B85 B75:D76">
    <cfRule type="expression" dxfId="4899" priority="87">
      <formula>B$9&gt;=20/24</formula>
    </cfRule>
    <cfRule type="expression" dxfId="4898" priority="88">
      <formula>AND(B$9&gt;=14/24,B$9&lt;20/24)</formula>
    </cfRule>
    <cfRule type="expression" dxfId="4897" priority="89">
      <formula>AND(B$9&gt;=8/24,B$9&lt;14/24)</formula>
    </cfRule>
    <cfRule type="expression" dxfId="4896" priority="90">
      <formula>B$9&lt;8/24</formula>
    </cfRule>
  </conditionalFormatting>
  <conditionalFormatting sqref="B89 B98 B87 B70:L70">
    <cfRule type="expression" dxfId="4895" priority="83">
      <formula>B$9&gt;=20/24</formula>
    </cfRule>
    <cfRule type="expression" dxfId="4894" priority="84">
      <formula>AND(B$9&gt;=14/24,B$9&lt;20/24)</formula>
    </cfRule>
    <cfRule type="expression" dxfId="4893" priority="85">
      <formula>AND(B$9&gt;=8/24,B$9&lt;14/24)</formula>
    </cfRule>
    <cfRule type="expression" dxfId="4892" priority="86">
      <formula>B$9&lt;8/24</formula>
    </cfRule>
  </conditionalFormatting>
  <conditionalFormatting sqref="B65:B66 B70:L70 B48:AF48">
    <cfRule type="expression" dxfId="4891" priority="82">
      <formula>B48&gt;$AG48</formula>
    </cfRule>
  </conditionalFormatting>
  <conditionalFormatting sqref="B82">
    <cfRule type="expression" dxfId="4890" priority="78">
      <formula>B$9&gt;=20/24</formula>
    </cfRule>
    <cfRule type="expression" dxfId="4889" priority="79">
      <formula>AND(B$9&gt;=14/24,B$9&lt;20/24)</formula>
    </cfRule>
    <cfRule type="expression" dxfId="4888" priority="80">
      <formula>AND(B$9&gt;=8/24,B$9&lt;14/24)</formula>
    </cfRule>
    <cfRule type="expression" dxfId="4887" priority="81">
      <formula>B$9&lt;8/24</formula>
    </cfRule>
  </conditionalFormatting>
  <conditionalFormatting sqref="B52">
    <cfRule type="expression" dxfId="4886" priority="74">
      <formula>B$9&gt;=20/24</formula>
    </cfRule>
    <cfRule type="expression" dxfId="4885" priority="75">
      <formula>AND(B$9&gt;=14/24,B$9&lt;20/24)</formula>
    </cfRule>
    <cfRule type="expression" dxfId="4884" priority="76">
      <formula>AND(B$9&gt;=8/24,B$9&lt;14/24)</formula>
    </cfRule>
    <cfRule type="expression" dxfId="4883" priority="77">
      <formula>B$9&lt;8/24</formula>
    </cfRule>
  </conditionalFormatting>
  <conditionalFormatting sqref="B52">
    <cfRule type="expression" dxfId="4882" priority="73">
      <formula>B52&gt;$AG52</formula>
    </cfRule>
  </conditionalFormatting>
  <conditionalFormatting sqref="B59:G64 H60:Y64">
    <cfRule type="expression" dxfId="4881" priority="65">
      <formula>B$9&gt;=20/24</formula>
    </cfRule>
    <cfRule type="expression" dxfId="4880" priority="66">
      <formula>AND(B$9&gt;=14/24,B$9&lt;20/24)</formula>
    </cfRule>
    <cfRule type="expression" dxfId="4879" priority="67">
      <formula>AND(B$9&gt;=8/24,B$9&lt;14/24)</formula>
    </cfRule>
    <cfRule type="expression" dxfId="4878" priority="68">
      <formula>B$9&lt;8/24</formula>
    </cfRule>
  </conditionalFormatting>
  <conditionalFormatting sqref="B59:G64 H60:Y64">
    <cfRule type="expression" dxfId="4877" priority="64">
      <formula>B59&gt;$AG59</formula>
    </cfRule>
  </conditionalFormatting>
  <conditionalFormatting sqref="B77:D81 E78:Y81">
    <cfRule type="expression" dxfId="4876" priority="60">
      <formula>B$9&gt;=20/24</formula>
    </cfRule>
    <cfRule type="expression" dxfId="4875" priority="61">
      <formula>AND(B$9&gt;=14/24,B$9&lt;20/24)</formula>
    </cfRule>
    <cfRule type="expression" dxfId="4874" priority="62">
      <formula>AND(B$9&gt;=8/24,B$9&lt;14/24)</formula>
    </cfRule>
    <cfRule type="expression" dxfId="4873" priority="63">
      <formula>B$9&lt;8/24</formula>
    </cfRule>
  </conditionalFormatting>
  <conditionalFormatting sqref="A11">
    <cfRule type="expression" dxfId="4872" priority="59">
      <formula>$AH11=0</formula>
    </cfRule>
  </conditionalFormatting>
  <conditionalFormatting sqref="Z11:AF11">
    <cfRule type="expression" dxfId="4871" priority="55">
      <formula>Z$9&gt;=20/24</formula>
    </cfRule>
    <cfRule type="expression" dxfId="4870" priority="56">
      <formula>AND(Z$9&gt;=14/24,Z$9&lt;20/24)</formula>
    </cfRule>
    <cfRule type="expression" dxfId="4869" priority="57">
      <formula>AND(Z$9&gt;=8/24,Z$9&lt;14/24)</formula>
    </cfRule>
    <cfRule type="expression" dxfId="4868" priority="58">
      <formula>Z$9&lt;8/24</formula>
    </cfRule>
  </conditionalFormatting>
  <conditionalFormatting sqref="Z11:AF11">
    <cfRule type="expression" dxfId="4867" priority="54">
      <formula>Z11&gt;$AG11</formula>
    </cfRule>
  </conditionalFormatting>
  <conditionalFormatting sqref="B11:Y11">
    <cfRule type="expression" dxfId="4866" priority="50">
      <formula>B$9&gt;=20/24</formula>
    </cfRule>
    <cfRule type="expression" dxfId="4865" priority="51">
      <formula>AND(B$9&gt;=14/24,B$9&lt;20/24)</formula>
    </cfRule>
    <cfRule type="expression" dxfId="4864" priority="52">
      <formula>AND(B$9&gt;=8/24,B$9&lt;14/24)</formula>
    </cfRule>
    <cfRule type="expression" dxfId="4863" priority="53">
      <formula>B$9&lt;8/24</formula>
    </cfRule>
  </conditionalFormatting>
  <conditionalFormatting sqref="B11:Y11">
    <cfRule type="expression" dxfId="4862" priority="49">
      <formula>B11&gt;$AG11</formula>
    </cfRule>
  </conditionalFormatting>
  <conditionalFormatting sqref="A16">
    <cfRule type="expression" dxfId="4861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4860" priority="43">
      <formula>Z$9&gt;=20/24</formula>
    </cfRule>
    <cfRule type="expression" dxfId="4859" priority="44">
      <formula>AND(Z$9&gt;=14/24,Z$9&lt;20/24)</formula>
    </cfRule>
    <cfRule type="expression" dxfId="4858" priority="45">
      <formula>AND(Z$9&gt;=8/24,Z$9&lt;14/24)</formula>
    </cfRule>
    <cfRule type="expression" dxfId="4857" priority="46">
      <formula>Z$9&lt;8/24</formula>
    </cfRule>
  </conditionalFormatting>
  <conditionalFormatting sqref="Z16:AF16">
    <cfRule type="expression" dxfId="4856" priority="42">
      <formula>Z16&gt;$AG16</formula>
    </cfRule>
  </conditionalFormatting>
  <conditionalFormatting sqref="B16:Y16">
    <cfRule type="expression" dxfId="4855" priority="38">
      <formula>B$9&gt;=20/24</formula>
    </cfRule>
    <cfRule type="expression" dxfId="4854" priority="39">
      <formula>AND(B$9&gt;=14/24,B$9&lt;20/24)</formula>
    </cfRule>
    <cfRule type="expression" dxfId="4853" priority="40">
      <formula>AND(B$9&gt;=8/24,B$9&lt;14/24)</formula>
    </cfRule>
    <cfRule type="expression" dxfId="4852" priority="41">
      <formula>B$9&lt;8/24</formula>
    </cfRule>
  </conditionalFormatting>
  <conditionalFormatting sqref="B16:Y16">
    <cfRule type="expression" dxfId="4851" priority="37">
      <formula>B16&gt;$AG16</formula>
    </cfRule>
  </conditionalFormatting>
  <conditionalFormatting sqref="A33">
    <cfRule type="expression" dxfId="4850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4849" priority="31">
      <formula>Z$9&gt;=20/24</formula>
    </cfRule>
    <cfRule type="expression" dxfId="4848" priority="32">
      <formula>AND(Z$9&gt;=14/24,Z$9&lt;20/24)</formula>
    </cfRule>
    <cfRule type="expression" dxfId="4847" priority="33">
      <formula>AND(Z$9&gt;=8/24,Z$9&lt;14/24)</formula>
    </cfRule>
    <cfRule type="expression" dxfId="4846" priority="34">
      <formula>Z$9&lt;8/24</formula>
    </cfRule>
  </conditionalFormatting>
  <conditionalFormatting sqref="Z33:AF33">
    <cfRule type="expression" dxfId="4845" priority="30">
      <formula>Z33&gt;$AG33</formula>
    </cfRule>
  </conditionalFormatting>
  <conditionalFormatting sqref="B33:Y33">
    <cfRule type="expression" dxfId="4844" priority="26">
      <formula>B$9&gt;=20/24</formula>
    </cfRule>
    <cfRule type="expression" dxfId="4843" priority="27">
      <formula>AND(B$9&gt;=14/24,B$9&lt;20/24)</formula>
    </cfRule>
    <cfRule type="expression" dxfId="4842" priority="28">
      <formula>AND(B$9&gt;=8/24,B$9&lt;14/24)</formula>
    </cfRule>
    <cfRule type="expression" dxfId="4841" priority="29">
      <formula>B$9&lt;8/24</formula>
    </cfRule>
  </conditionalFormatting>
  <conditionalFormatting sqref="B33:Y33">
    <cfRule type="expression" dxfId="4840" priority="25">
      <formula>B33&gt;$AG33</formula>
    </cfRule>
  </conditionalFormatting>
  <conditionalFormatting sqref="A44">
    <cfRule type="expression" dxfId="4839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4838" priority="22">
      <formula>Z44&gt;$AG44</formula>
    </cfRule>
  </conditionalFormatting>
  <conditionalFormatting sqref="Z44:AF44">
    <cfRule type="expression" dxfId="4837" priority="18">
      <formula>Z$9&gt;=20/24</formula>
    </cfRule>
    <cfRule type="expression" dxfId="4836" priority="19">
      <formula>AND(Z$9&gt;=14/24,Z$9&lt;20/24)</formula>
    </cfRule>
    <cfRule type="expression" dxfId="4835" priority="20">
      <formula>AND(Z$9&gt;=8/24,Z$9&lt;14/24)</formula>
    </cfRule>
    <cfRule type="expression" dxfId="4834" priority="21">
      <formula>Z$9&lt;8/24</formula>
    </cfRule>
  </conditionalFormatting>
  <conditionalFormatting sqref="B44:Y44">
    <cfRule type="expression" dxfId="4833" priority="14">
      <formula>B$9&gt;=20/24</formula>
    </cfRule>
    <cfRule type="expression" dxfId="4832" priority="15">
      <formula>AND(B$9&gt;=14/24,B$9&lt;20/24)</formula>
    </cfRule>
    <cfRule type="expression" dxfId="4831" priority="16">
      <formula>AND(B$9&gt;=8/24,B$9&lt;14/24)</formula>
    </cfRule>
    <cfRule type="expression" dxfId="4830" priority="17">
      <formula>B$9&lt;8/24</formula>
    </cfRule>
  </conditionalFormatting>
  <conditionalFormatting sqref="B44:Y44">
    <cfRule type="expression" dxfId="4829" priority="13">
      <formula>B44&gt;$AG44</formula>
    </cfRule>
  </conditionalFormatting>
  <conditionalFormatting sqref="B117">
    <cfRule type="expression" dxfId="4828" priority="1">
      <formula>B$9&gt;=20/24</formula>
    </cfRule>
    <cfRule type="expression" dxfId="4827" priority="2">
      <formula>AND(B$9&gt;=14/24,B$9&lt;20/24)</formula>
    </cfRule>
    <cfRule type="expression" dxfId="4826" priority="3">
      <formula>AND(B$9&gt;=8/24,B$9&lt;14/24)</formula>
    </cfRule>
    <cfRule type="expression" dxfId="4825" priority="4">
      <formula>B$9&lt;8/24</formula>
    </cfRule>
  </conditionalFormatting>
  <conditionalFormatting sqref="D117:AF117">
    <cfRule type="expression" dxfId="4824" priority="9">
      <formula>D$9&gt;=20/24</formula>
    </cfRule>
    <cfRule type="expression" dxfId="4823" priority="10">
      <formula>AND(D$9&gt;=14/24,D$9&lt;20/24)</formula>
    </cfRule>
    <cfRule type="expression" dxfId="4822" priority="11">
      <formula>AND(D$9&gt;=8/24,D$9&lt;14/24)</formula>
    </cfRule>
    <cfRule type="expression" dxfId="4821" priority="12">
      <formula>D$9&lt;8/24</formula>
    </cfRule>
  </conditionalFormatting>
  <conditionalFormatting sqref="C117">
    <cfRule type="expression" dxfId="4820" priority="5">
      <formula>C$9&gt;=20/24</formula>
    </cfRule>
    <cfRule type="expression" dxfId="4819" priority="6">
      <formula>AND(C$9&gt;=14/24,C$9&lt;20/24)</formula>
    </cfRule>
    <cfRule type="expression" dxfId="4818" priority="7">
      <formula>AND(C$9&gt;=8/24,C$9&lt;14/24)</formula>
    </cfRule>
    <cfRule type="expression" dxfId="4817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E8DCA52A-D769-4DBD-9C94-D3BD204A30F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E7701710-006C-4802-A710-AB87231A65BC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1590F5BC-2DDE-4BC9-AB3C-C464169314A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F24B9FD5-544F-45CB-A075-066681D7253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4B2DD7FC-2781-4D22-8B14-D7A53FEAECE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210537A0-94D8-424D-BDF0-0F64404F5C2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FEFF212F-6BEC-46C2-8AEC-4C10E0127B95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462A81A3-20CD-410F-99D5-D3BC7A68142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="80" zoomScaleNormal="80" workbookViewId="0">
      <pane ySplit="10" topLeftCell="A11" activePane="bottomLeft" state="frozen"/>
      <selection activeCell="Z85" sqref="Z85"/>
      <selection pane="bottomLeft" activeCell="U57" sqref="U57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4" width="6.85546875" style="2" customWidth="1"/>
    <col min="25" max="25" width="6.85546875" style="219" customWidth="1"/>
    <col min="26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186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2079/12/15</v>
      </c>
      <c r="C4" s="236"/>
      <c r="D4" s="236"/>
      <c r="E4" s="237" t="str">
        <f ca="1">"2079/"&amp;"12/"&amp;INT(MID(CELL("filename",G6),FIND("]",CELL("filename",G6))+1,200))</f>
        <v>2079/12/15</v>
      </c>
      <c r="F4" s="237"/>
      <c r="G4" s="237"/>
      <c r="H4" s="237" t="str">
        <f ca="1">TEXT(E4,"dddd")</f>
        <v>Friday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586.70000000000005</v>
      </c>
      <c r="C5" s="33">
        <f t="shared" si="0"/>
        <v>569.4</v>
      </c>
      <c r="D5" s="33">
        <f t="shared" si="0"/>
        <v>570.79999999999995</v>
      </c>
      <c r="E5" s="33">
        <f t="shared" si="0"/>
        <v>563.20000000000005</v>
      </c>
      <c r="F5" s="33">
        <f t="shared" si="0"/>
        <v>562.4</v>
      </c>
      <c r="G5" s="33">
        <f t="shared" si="0"/>
        <v>563</v>
      </c>
      <c r="H5" s="33">
        <f t="shared" si="0"/>
        <v>572.90000000000009</v>
      </c>
      <c r="I5" s="33">
        <f t="shared" si="0"/>
        <v>559.4</v>
      </c>
      <c r="J5" s="33">
        <f t="shared" si="0"/>
        <v>638.70000000000005</v>
      </c>
      <c r="K5" s="33">
        <f t="shared" si="0"/>
        <v>622.30000000000007</v>
      </c>
      <c r="L5" s="33">
        <f t="shared" si="0"/>
        <v>637.79999999999995</v>
      </c>
      <c r="M5" s="33">
        <f t="shared" si="0"/>
        <v>626.4</v>
      </c>
      <c r="N5" s="33">
        <f t="shared" si="0"/>
        <v>637.19999999999993</v>
      </c>
      <c r="O5" s="33">
        <f t="shared" si="0"/>
        <v>668.4</v>
      </c>
      <c r="P5" s="33">
        <f t="shared" si="0"/>
        <v>666.4</v>
      </c>
      <c r="Q5" s="33">
        <f t="shared" si="0"/>
        <v>699.9</v>
      </c>
      <c r="R5" s="33">
        <f t="shared" si="0"/>
        <v>669.9</v>
      </c>
      <c r="S5" s="33">
        <f t="shared" si="0"/>
        <v>642.9</v>
      </c>
      <c r="T5" s="33">
        <f t="shared" si="0"/>
        <v>641.9</v>
      </c>
      <c r="U5" s="33">
        <f t="shared" si="0"/>
        <v>586.5</v>
      </c>
      <c r="V5" s="33">
        <f t="shared" si="0"/>
        <v>612.5</v>
      </c>
      <c r="W5" s="33">
        <f t="shared" si="0"/>
        <v>578</v>
      </c>
      <c r="X5" s="33">
        <f t="shared" si="0"/>
        <v>565.5</v>
      </c>
      <c r="Y5" s="187">
        <f t="shared" si="0"/>
        <v>575.5</v>
      </c>
      <c r="Z5" s="33">
        <f t="shared" si="0"/>
        <v>571.5</v>
      </c>
      <c r="AA5" s="33">
        <f t="shared" si="0"/>
        <v>571.5</v>
      </c>
      <c r="AB5" s="33">
        <f t="shared" si="0"/>
        <v>571.5</v>
      </c>
      <c r="AC5" s="33">
        <f t="shared" si="0"/>
        <v>638</v>
      </c>
      <c r="AD5" s="33">
        <f t="shared" si="0"/>
        <v>587</v>
      </c>
      <c r="AE5" s="33">
        <f t="shared" si="0"/>
        <v>661.5</v>
      </c>
      <c r="AF5" s="33">
        <f>B82</f>
        <v>562.29999999999995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1517MW at 8:00hr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Load=1250</v>
      </c>
      <c r="B7" s="38">
        <f t="shared" ref="B7:AF7" si="1">B89</f>
        <v>1358.8399999999997</v>
      </c>
      <c r="C7" s="38">
        <f t="shared" si="1"/>
        <v>1363.2399999999998</v>
      </c>
      <c r="D7" s="38">
        <f t="shared" si="1"/>
        <v>1322.7399999999998</v>
      </c>
      <c r="E7" s="38">
        <f t="shared" si="1"/>
        <v>1311.6399999999999</v>
      </c>
      <c r="F7" s="38">
        <f t="shared" si="1"/>
        <v>1310.2399999999998</v>
      </c>
      <c r="G7" s="38">
        <f t="shared" si="1"/>
        <v>1343.6399999999999</v>
      </c>
      <c r="H7" s="38">
        <f t="shared" si="1"/>
        <v>1347.84</v>
      </c>
      <c r="I7" s="38">
        <f t="shared" si="1"/>
        <v>1362.0400000000002</v>
      </c>
      <c r="J7" s="38">
        <f t="shared" si="1"/>
        <v>1453.74</v>
      </c>
      <c r="K7" s="38">
        <f t="shared" si="1"/>
        <v>1506.6399999999999</v>
      </c>
      <c r="L7" s="38">
        <f t="shared" si="1"/>
        <v>1515.74</v>
      </c>
      <c r="M7" s="38">
        <f t="shared" si="1"/>
        <v>1517.44</v>
      </c>
      <c r="N7" s="38">
        <f>N89</f>
        <v>1506.04</v>
      </c>
      <c r="O7" s="38">
        <f t="shared" si="1"/>
        <v>1500.7399999999998</v>
      </c>
      <c r="P7" s="38">
        <f t="shared" si="1"/>
        <v>1528.34</v>
      </c>
      <c r="Q7" s="38">
        <f t="shared" si="1"/>
        <v>1718.6399999999999</v>
      </c>
      <c r="R7" s="38">
        <f>R89</f>
        <v>1814.54</v>
      </c>
      <c r="S7" s="38">
        <f t="shared" si="1"/>
        <v>1598.94</v>
      </c>
      <c r="T7" s="38">
        <f t="shared" si="1"/>
        <v>1571.94</v>
      </c>
      <c r="U7" s="38">
        <f t="shared" si="1"/>
        <v>1585.54</v>
      </c>
      <c r="V7" s="38">
        <f t="shared" si="1"/>
        <v>1495.2399999999998</v>
      </c>
      <c r="W7" s="38">
        <f t="shared" si="1"/>
        <v>1524.54</v>
      </c>
      <c r="X7" s="38">
        <f t="shared" si="1"/>
        <v>1371.54</v>
      </c>
      <c r="Y7" s="38">
        <f t="shared" si="1"/>
        <v>1328.94</v>
      </c>
      <c r="Z7" s="38">
        <f t="shared" si="1"/>
        <v>1338.94</v>
      </c>
      <c r="AA7" s="38">
        <f t="shared" si="1"/>
        <v>1344.94</v>
      </c>
      <c r="AB7" s="38">
        <f t="shared" si="1"/>
        <v>1440.24</v>
      </c>
      <c r="AC7" s="38">
        <f t="shared" si="1"/>
        <v>1440.24</v>
      </c>
      <c r="AD7" s="38">
        <f t="shared" si="1"/>
        <v>1386.1399999999999</v>
      </c>
      <c r="AE7" s="38">
        <f t="shared" si="1"/>
        <v>1249.6399999999999</v>
      </c>
      <c r="AF7" s="38">
        <f t="shared" si="1"/>
        <v>1391.04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48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49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23</v>
      </c>
      <c r="C11" s="50">
        <v>23</v>
      </c>
      <c r="D11" s="50">
        <v>23</v>
      </c>
      <c r="E11" s="50">
        <v>23</v>
      </c>
      <c r="F11" s="50">
        <v>23</v>
      </c>
      <c r="G11" s="50">
        <v>23</v>
      </c>
      <c r="H11" s="50">
        <v>23</v>
      </c>
      <c r="I11" s="50">
        <v>23</v>
      </c>
      <c r="J11" s="50">
        <v>23</v>
      </c>
      <c r="K11" s="50">
        <v>23</v>
      </c>
      <c r="L11" s="50">
        <v>23</v>
      </c>
      <c r="M11" s="50">
        <v>23</v>
      </c>
      <c r="N11" s="50">
        <v>23</v>
      </c>
      <c r="O11" s="50">
        <v>23</v>
      </c>
      <c r="P11" s="50">
        <v>23</v>
      </c>
      <c r="Q11" s="50">
        <v>23</v>
      </c>
      <c r="R11" s="50">
        <v>23</v>
      </c>
      <c r="S11" s="50">
        <v>23</v>
      </c>
      <c r="T11" s="50">
        <v>23</v>
      </c>
      <c r="U11" s="50">
        <v>23</v>
      </c>
      <c r="V11" s="50">
        <v>23</v>
      </c>
      <c r="W11" s="50">
        <v>23</v>
      </c>
      <c r="X11" s="50">
        <v>23</v>
      </c>
      <c r="Y11" s="188">
        <v>23</v>
      </c>
      <c r="Z11" s="50">
        <v>23</v>
      </c>
      <c r="AA11" s="50">
        <v>23</v>
      </c>
      <c r="AB11" s="50">
        <v>23</v>
      </c>
      <c r="AC11" s="50">
        <v>23</v>
      </c>
      <c r="AD11" s="50">
        <v>23</v>
      </c>
      <c r="AE11" s="50">
        <v>23</v>
      </c>
      <c r="AF11" s="50">
        <v>23</v>
      </c>
      <c r="AG11" s="51">
        <v>86</v>
      </c>
      <c r="AH11" s="52">
        <f t="shared" ref="AH11:AH74" si="2">MAX(B11:AF11)</f>
        <v>23</v>
      </c>
      <c r="AI11" s="53">
        <f t="shared" ref="AI11:AI74" si="3">MIN(B11:AF11)</f>
        <v>23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16</v>
      </c>
      <c r="C12" s="50">
        <v>16</v>
      </c>
      <c r="D12" s="50">
        <v>16</v>
      </c>
      <c r="E12" s="50">
        <v>16</v>
      </c>
      <c r="F12" s="50">
        <v>16</v>
      </c>
      <c r="G12" s="50">
        <v>16</v>
      </c>
      <c r="H12" s="50">
        <v>16</v>
      </c>
      <c r="I12" s="50">
        <v>16</v>
      </c>
      <c r="J12" s="50">
        <v>15</v>
      </c>
      <c r="K12" s="50">
        <v>16</v>
      </c>
      <c r="L12" s="50">
        <v>16</v>
      </c>
      <c r="M12" s="50">
        <v>16</v>
      </c>
      <c r="N12" s="50">
        <v>16</v>
      </c>
      <c r="O12" s="50">
        <v>16</v>
      </c>
      <c r="P12" s="50">
        <v>16</v>
      </c>
      <c r="Q12" s="50">
        <v>16</v>
      </c>
      <c r="R12" s="50">
        <v>16</v>
      </c>
      <c r="S12" s="50">
        <v>16</v>
      </c>
      <c r="T12" s="50">
        <v>16</v>
      </c>
      <c r="U12" s="50">
        <v>16</v>
      </c>
      <c r="V12" s="50">
        <v>16</v>
      </c>
      <c r="W12" s="50">
        <v>16</v>
      </c>
      <c r="X12" s="50">
        <v>16</v>
      </c>
      <c r="Y12" s="188">
        <v>16</v>
      </c>
      <c r="Z12" s="50">
        <v>16</v>
      </c>
      <c r="AA12" s="50">
        <v>16</v>
      </c>
      <c r="AB12" s="50">
        <v>16</v>
      </c>
      <c r="AC12" s="50">
        <v>16</v>
      </c>
      <c r="AD12" s="50">
        <v>16</v>
      </c>
      <c r="AE12" s="50">
        <v>16</v>
      </c>
      <c r="AF12" s="50">
        <v>16</v>
      </c>
      <c r="AG12" s="51">
        <v>52.4</v>
      </c>
      <c r="AH12" s="52">
        <f t="shared" si="2"/>
        <v>16</v>
      </c>
      <c r="AI12" s="53">
        <f t="shared" si="3"/>
        <v>15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32.799999999999997</v>
      </c>
      <c r="C13" s="50">
        <v>32.799999999999997</v>
      </c>
      <c r="D13" s="50">
        <v>32.799999999999997</v>
      </c>
      <c r="E13" s="50">
        <v>32.799999999999997</v>
      </c>
      <c r="F13" s="50">
        <v>32.799999999999997</v>
      </c>
      <c r="G13" s="50">
        <v>32.799999999999997</v>
      </c>
      <c r="H13" s="50">
        <v>32.799999999999997</v>
      </c>
      <c r="I13" s="50">
        <v>33.4</v>
      </c>
      <c r="J13" s="50">
        <v>33.4</v>
      </c>
      <c r="K13" s="50">
        <v>33.4</v>
      </c>
      <c r="L13" s="50">
        <v>33.4</v>
      </c>
      <c r="M13" s="50">
        <v>33.4</v>
      </c>
      <c r="N13" s="50">
        <v>33.4</v>
      </c>
      <c r="O13" s="50">
        <v>33.4</v>
      </c>
      <c r="P13" s="50">
        <v>33.1</v>
      </c>
      <c r="Q13" s="50">
        <v>33.1</v>
      </c>
      <c r="R13" s="50">
        <v>33.1</v>
      </c>
      <c r="S13" s="50">
        <v>33.1</v>
      </c>
      <c r="T13" s="50">
        <v>33.1</v>
      </c>
      <c r="U13" s="50">
        <v>33.1</v>
      </c>
      <c r="V13" s="50">
        <v>33.1</v>
      </c>
      <c r="W13" s="50">
        <v>33.1</v>
      </c>
      <c r="X13" s="50">
        <v>33.1</v>
      </c>
      <c r="Y13" s="188">
        <v>33.1</v>
      </c>
      <c r="Z13" s="50">
        <v>33.1</v>
      </c>
      <c r="AA13" s="50">
        <v>33.1</v>
      </c>
      <c r="AB13" s="50">
        <v>33.1</v>
      </c>
      <c r="AC13" s="50">
        <v>33.1</v>
      </c>
      <c r="AD13" s="50">
        <v>33.1</v>
      </c>
      <c r="AE13" s="50">
        <v>33.1</v>
      </c>
      <c r="AF13" s="50">
        <v>33.1</v>
      </c>
      <c r="AG13" s="55">
        <v>50</v>
      </c>
      <c r="AH13" s="52">
        <f t="shared" si="2"/>
        <v>33.4</v>
      </c>
      <c r="AI13" s="53">
        <f t="shared" si="3"/>
        <v>32.799999999999997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15</v>
      </c>
      <c r="C14" s="50">
        <v>15</v>
      </c>
      <c r="D14" s="50">
        <v>15</v>
      </c>
      <c r="E14" s="50">
        <v>15</v>
      </c>
      <c r="F14" s="50">
        <v>15</v>
      </c>
      <c r="G14" s="50">
        <v>15</v>
      </c>
      <c r="H14" s="50">
        <v>15</v>
      </c>
      <c r="I14" s="50">
        <v>15</v>
      </c>
      <c r="J14" s="50">
        <v>15</v>
      </c>
      <c r="K14" s="50">
        <v>15</v>
      </c>
      <c r="L14" s="50">
        <v>15</v>
      </c>
      <c r="M14" s="50">
        <v>15</v>
      </c>
      <c r="N14" s="50">
        <v>15</v>
      </c>
      <c r="O14" s="50">
        <v>15</v>
      </c>
      <c r="P14" s="50">
        <v>15</v>
      </c>
      <c r="Q14" s="50">
        <v>15</v>
      </c>
      <c r="R14" s="50">
        <v>15</v>
      </c>
      <c r="S14" s="50">
        <v>15</v>
      </c>
      <c r="T14" s="50">
        <v>15</v>
      </c>
      <c r="U14" s="50">
        <v>15</v>
      </c>
      <c r="V14" s="50">
        <v>15</v>
      </c>
      <c r="W14" s="50">
        <v>15</v>
      </c>
      <c r="X14" s="50">
        <v>15</v>
      </c>
      <c r="Y14" s="188">
        <v>15</v>
      </c>
      <c r="Z14" s="50">
        <v>15</v>
      </c>
      <c r="AA14" s="50">
        <v>15</v>
      </c>
      <c r="AB14" s="50">
        <v>15</v>
      </c>
      <c r="AC14" s="50">
        <v>15</v>
      </c>
      <c r="AD14" s="50">
        <v>15</v>
      </c>
      <c r="AE14" s="50">
        <v>15</v>
      </c>
      <c r="AF14" s="50">
        <v>15</v>
      </c>
      <c r="AG14" s="55">
        <v>45</v>
      </c>
      <c r="AH14" s="52">
        <f t="shared" si="2"/>
        <v>15</v>
      </c>
      <c r="AI14" s="53">
        <f t="shared" si="3"/>
        <v>15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10</v>
      </c>
      <c r="C15" s="50">
        <v>10</v>
      </c>
      <c r="D15" s="50">
        <v>10</v>
      </c>
      <c r="E15" s="50">
        <v>10</v>
      </c>
      <c r="F15" s="50">
        <v>10</v>
      </c>
      <c r="G15" s="50">
        <v>10</v>
      </c>
      <c r="H15" s="50">
        <v>10</v>
      </c>
      <c r="I15" s="50">
        <v>13</v>
      </c>
      <c r="J15" s="50">
        <v>14</v>
      </c>
      <c r="K15" s="50">
        <v>14</v>
      </c>
      <c r="L15" s="50">
        <v>14</v>
      </c>
      <c r="M15" s="50">
        <v>14</v>
      </c>
      <c r="N15" s="50">
        <v>14</v>
      </c>
      <c r="O15" s="50">
        <v>14</v>
      </c>
      <c r="P15" s="50">
        <v>12</v>
      </c>
      <c r="Q15" s="50">
        <v>12</v>
      </c>
      <c r="R15" s="50">
        <v>12</v>
      </c>
      <c r="S15" s="50">
        <v>12</v>
      </c>
      <c r="T15" s="50">
        <v>12</v>
      </c>
      <c r="U15" s="50">
        <v>12</v>
      </c>
      <c r="V15" s="50">
        <v>12</v>
      </c>
      <c r="W15" s="50">
        <v>12</v>
      </c>
      <c r="X15" s="50">
        <v>12</v>
      </c>
      <c r="Y15" s="188">
        <v>12</v>
      </c>
      <c r="Z15" s="50">
        <v>12</v>
      </c>
      <c r="AA15" s="50">
        <v>12</v>
      </c>
      <c r="AB15" s="50">
        <v>12</v>
      </c>
      <c r="AC15" s="50">
        <v>12</v>
      </c>
      <c r="AD15" s="50">
        <v>12</v>
      </c>
      <c r="AE15" s="50">
        <v>12</v>
      </c>
      <c r="AF15" s="50">
        <v>12</v>
      </c>
      <c r="AG15" s="55">
        <v>42</v>
      </c>
      <c r="AH15" s="52">
        <f t="shared" si="2"/>
        <v>14</v>
      </c>
      <c r="AI15" s="53">
        <f t="shared" si="3"/>
        <v>10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14</v>
      </c>
      <c r="C16" s="50">
        <v>14</v>
      </c>
      <c r="D16" s="50">
        <v>14</v>
      </c>
      <c r="E16" s="50">
        <v>14</v>
      </c>
      <c r="F16" s="50">
        <v>14</v>
      </c>
      <c r="G16" s="50">
        <v>14</v>
      </c>
      <c r="H16" s="50">
        <v>14</v>
      </c>
      <c r="I16" s="50">
        <v>14</v>
      </c>
      <c r="J16" s="50">
        <v>14</v>
      </c>
      <c r="K16" s="50">
        <v>14</v>
      </c>
      <c r="L16" s="50">
        <v>14</v>
      </c>
      <c r="M16" s="50">
        <v>14</v>
      </c>
      <c r="N16" s="50">
        <v>14</v>
      </c>
      <c r="O16" s="50">
        <v>14</v>
      </c>
      <c r="P16" s="50">
        <v>14</v>
      </c>
      <c r="Q16" s="50">
        <v>14</v>
      </c>
      <c r="R16" s="50">
        <v>14</v>
      </c>
      <c r="S16" s="50">
        <v>14</v>
      </c>
      <c r="T16" s="50">
        <v>14</v>
      </c>
      <c r="U16" s="50">
        <v>14</v>
      </c>
      <c r="V16" s="50">
        <v>14</v>
      </c>
      <c r="W16" s="50">
        <v>14</v>
      </c>
      <c r="X16" s="50">
        <v>14</v>
      </c>
      <c r="Y16" s="188">
        <v>14</v>
      </c>
      <c r="Z16" s="50">
        <v>14</v>
      </c>
      <c r="AA16" s="50">
        <v>14</v>
      </c>
      <c r="AB16" s="50">
        <v>14</v>
      </c>
      <c r="AC16" s="50">
        <v>14</v>
      </c>
      <c r="AD16" s="50">
        <v>14</v>
      </c>
      <c r="AE16" s="50">
        <v>14</v>
      </c>
      <c r="AF16" s="50">
        <v>14</v>
      </c>
      <c r="AG16" s="55">
        <v>36</v>
      </c>
      <c r="AH16" s="52">
        <f t="shared" si="2"/>
        <v>14</v>
      </c>
      <c r="AI16" s="53">
        <f t="shared" si="3"/>
        <v>14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188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8.3000000000000007</v>
      </c>
      <c r="C18" s="50">
        <v>8.3000000000000007</v>
      </c>
      <c r="D18" s="50">
        <v>8.3000000000000007</v>
      </c>
      <c r="E18" s="50">
        <v>8.3000000000000007</v>
      </c>
      <c r="F18" s="50">
        <v>8.3000000000000007</v>
      </c>
      <c r="G18" s="50">
        <v>8.3000000000000007</v>
      </c>
      <c r="H18" s="50">
        <v>8.3000000000000007</v>
      </c>
      <c r="I18" s="50">
        <v>9</v>
      </c>
      <c r="J18" s="50">
        <v>8.3000000000000007</v>
      </c>
      <c r="K18" s="50">
        <v>8.3000000000000007</v>
      </c>
      <c r="L18" s="50">
        <v>8.3000000000000007</v>
      </c>
      <c r="M18" s="50">
        <v>8.3000000000000007</v>
      </c>
      <c r="N18" s="50">
        <v>8.3000000000000007</v>
      </c>
      <c r="O18" s="50">
        <v>8.3000000000000007</v>
      </c>
      <c r="P18" s="50">
        <v>7.7</v>
      </c>
      <c r="Q18" s="50">
        <v>7.7</v>
      </c>
      <c r="R18" s="50">
        <v>7.7</v>
      </c>
      <c r="S18" s="50">
        <v>7.7</v>
      </c>
      <c r="T18" s="50">
        <v>7.7</v>
      </c>
      <c r="U18" s="50">
        <v>7.7</v>
      </c>
      <c r="V18" s="50">
        <v>7.7</v>
      </c>
      <c r="W18" s="50">
        <v>7.7</v>
      </c>
      <c r="X18" s="50">
        <v>7.7</v>
      </c>
      <c r="Y18" s="188">
        <v>7.7</v>
      </c>
      <c r="Z18" s="50">
        <v>7.7</v>
      </c>
      <c r="AA18" s="50">
        <v>7.7</v>
      </c>
      <c r="AB18" s="50">
        <v>7.7</v>
      </c>
      <c r="AC18" s="50">
        <v>7.7</v>
      </c>
      <c r="AD18" s="50">
        <v>7.7</v>
      </c>
      <c r="AE18" s="50">
        <v>7.7</v>
      </c>
      <c r="AF18" s="50">
        <v>7.7</v>
      </c>
      <c r="AG18" s="56">
        <v>30</v>
      </c>
      <c r="AH18" s="52">
        <f t="shared" si="2"/>
        <v>9</v>
      </c>
      <c r="AI18" s="53">
        <f t="shared" si="3"/>
        <v>7.7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6.6</v>
      </c>
      <c r="C19" s="50">
        <v>6.6</v>
      </c>
      <c r="D19" s="50">
        <v>6.6</v>
      </c>
      <c r="E19" s="50">
        <v>6.6</v>
      </c>
      <c r="F19" s="50">
        <v>6.6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6.6</v>
      </c>
      <c r="N19" s="50">
        <v>6.6</v>
      </c>
      <c r="O19" s="50">
        <v>6.6</v>
      </c>
      <c r="P19" s="50">
        <v>6.6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188">
        <v>6.6</v>
      </c>
      <c r="Z19" s="50">
        <v>6.6</v>
      </c>
      <c r="AA19" s="50">
        <v>6.6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6.6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11</v>
      </c>
      <c r="C20" s="50">
        <v>11</v>
      </c>
      <c r="D20" s="50">
        <v>11</v>
      </c>
      <c r="E20" s="50">
        <v>11</v>
      </c>
      <c r="F20" s="50">
        <v>11</v>
      </c>
      <c r="G20" s="50">
        <v>11</v>
      </c>
      <c r="H20" s="50">
        <v>11</v>
      </c>
      <c r="I20" s="50">
        <v>11</v>
      </c>
      <c r="J20" s="50">
        <v>11</v>
      </c>
      <c r="K20" s="50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188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55">
        <v>28</v>
      </c>
      <c r="AH20" s="52">
        <f t="shared" si="2"/>
        <v>11</v>
      </c>
      <c r="AI20" s="53">
        <f t="shared" si="3"/>
        <v>11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6.5</v>
      </c>
      <c r="C21" s="50">
        <v>6.5</v>
      </c>
      <c r="D21" s="50">
        <v>6.5</v>
      </c>
      <c r="E21" s="50">
        <v>6.5</v>
      </c>
      <c r="F21" s="50">
        <v>6.5</v>
      </c>
      <c r="G21" s="50">
        <v>6.5</v>
      </c>
      <c r="H21" s="50">
        <v>6.5</v>
      </c>
      <c r="I21" s="50">
        <v>6.5</v>
      </c>
      <c r="J21" s="50">
        <v>6.5</v>
      </c>
      <c r="K21" s="50">
        <v>6.5</v>
      </c>
      <c r="L21" s="50">
        <v>6.5</v>
      </c>
      <c r="M21" s="50">
        <v>6.5</v>
      </c>
      <c r="N21" s="50">
        <v>6.5</v>
      </c>
      <c r="O21" s="50">
        <v>6.5</v>
      </c>
      <c r="P21" s="50">
        <v>6.5</v>
      </c>
      <c r="Q21" s="50">
        <v>6.5</v>
      </c>
      <c r="R21" s="50">
        <v>6.5</v>
      </c>
      <c r="S21" s="50">
        <v>6.5</v>
      </c>
      <c r="T21" s="50">
        <v>6.5</v>
      </c>
      <c r="U21" s="50">
        <v>6.5</v>
      </c>
      <c r="V21" s="50">
        <v>6.5</v>
      </c>
      <c r="W21" s="50">
        <v>6.5</v>
      </c>
      <c r="X21" s="50">
        <v>6.5</v>
      </c>
      <c r="Y21" s="188">
        <v>6.5</v>
      </c>
      <c r="Z21" s="50">
        <v>6.5</v>
      </c>
      <c r="AA21" s="50">
        <v>6.5</v>
      </c>
      <c r="AB21" s="50">
        <v>6.5</v>
      </c>
      <c r="AC21" s="50">
        <v>6.5</v>
      </c>
      <c r="AD21" s="50">
        <v>6.5</v>
      </c>
      <c r="AE21" s="50">
        <v>6.5</v>
      </c>
      <c r="AF21" s="50">
        <v>6.5</v>
      </c>
      <c r="AG21" s="56">
        <v>30</v>
      </c>
      <c r="AH21" s="52">
        <f t="shared" si="2"/>
        <v>6.5</v>
      </c>
      <c r="AI21" s="53">
        <f t="shared" si="3"/>
        <v>6.5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9</v>
      </c>
      <c r="C22" s="50">
        <v>9</v>
      </c>
      <c r="D22" s="50">
        <v>9</v>
      </c>
      <c r="E22" s="50">
        <v>9</v>
      </c>
      <c r="F22" s="50">
        <v>9</v>
      </c>
      <c r="G22" s="50">
        <v>9</v>
      </c>
      <c r="H22" s="50">
        <v>9</v>
      </c>
      <c r="I22" s="50">
        <v>9</v>
      </c>
      <c r="J22" s="50">
        <v>9</v>
      </c>
      <c r="K22" s="50">
        <v>9</v>
      </c>
      <c r="L22" s="50">
        <v>9</v>
      </c>
      <c r="M22" s="50">
        <v>9</v>
      </c>
      <c r="N22" s="50">
        <v>9</v>
      </c>
      <c r="O22" s="50">
        <v>9</v>
      </c>
      <c r="P22" s="50">
        <v>8.4</v>
      </c>
      <c r="Q22" s="50">
        <v>8.4</v>
      </c>
      <c r="R22" s="50">
        <v>8.4</v>
      </c>
      <c r="S22" s="50">
        <v>8.4</v>
      </c>
      <c r="T22" s="50">
        <v>8.4</v>
      </c>
      <c r="U22" s="50">
        <v>8.4</v>
      </c>
      <c r="V22" s="50">
        <v>8.4</v>
      </c>
      <c r="W22" s="50">
        <v>8.4</v>
      </c>
      <c r="X22" s="50">
        <v>8.4</v>
      </c>
      <c r="Y22" s="188">
        <v>8.4</v>
      </c>
      <c r="Z22" s="50">
        <v>8.4</v>
      </c>
      <c r="AA22" s="50">
        <v>8.4</v>
      </c>
      <c r="AB22" s="50">
        <v>8.4</v>
      </c>
      <c r="AC22" s="50">
        <v>8.4</v>
      </c>
      <c r="AD22" s="50">
        <v>8.4</v>
      </c>
      <c r="AE22" s="50">
        <v>8.4</v>
      </c>
      <c r="AF22" s="50">
        <v>8.4</v>
      </c>
      <c r="AG22" s="55">
        <v>25</v>
      </c>
      <c r="AH22" s="52">
        <f t="shared" si="2"/>
        <v>9</v>
      </c>
      <c r="AI22" s="53">
        <f t="shared" si="3"/>
        <v>8.4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188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5">
        <v>25</v>
      </c>
      <c r="AH23" s="52">
        <f t="shared" si="2"/>
        <v>8</v>
      </c>
      <c r="AI23" s="53">
        <f t="shared" si="3"/>
        <v>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188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188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6</v>
      </c>
      <c r="C26" s="50">
        <v>6</v>
      </c>
      <c r="D26" s="50">
        <v>6</v>
      </c>
      <c r="E26" s="50">
        <v>6</v>
      </c>
      <c r="F26" s="50">
        <v>6</v>
      </c>
      <c r="G26" s="50">
        <v>6</v>
      </c>
      <c r="H26" s="50">
        <v>6</v>
      </c>
      <c r="I26" s="50">
        <v>6</v>
      </c>
      <c r="J26" s="50">
        <v>6</v>
      </c>
      <c r="K26" s="50">
        <v>6</v>
      </c>
      <c r="L26" s="50">
        <v>6</v>
      </c>
      <c r="M26" s="50">
        <v>6</v>
      </c>
      <c r="N26" s="50">
        <v>6</v>
      </c>
      <c r="O26" s="50">
        <v>6</v>
      </c>
      <c r="P26" s="50">
        <v>6</v>
      </c>
      <c r="Q26" s="50">
        <v>6</v>
      </c>
      <c r="R26" s="50">
        <v>6</v>
      </c>
      <c r="S26" s="50">
        <v>6</v>
      </c>
      <c r="T26" s="50">
        <v>6</v>
      </c>
      <c r="U26" s="50">
        <v>6</v>
      </c>
      <c r="V26" s="50">
        <v>6</v>
      </c>
      <c r="W26" s="50">
        <v>6</v>
      </c>
      <c r="X26" s="50">
        <v>6</v>
      </c>
      <c r="Y26" s="188">
        <v>6</v>
      </c>
      <c r="Z26" s="50">
        <v>6</v>
      </c>
      <c r="AA26" s="50">
        <v>6</v>
      </c>
      <c r="AB26" s="50">
        <v>6</v>
      </c>
      <c r="AC26" s="50">
        <v>6</v>
      </c>
      <c r="AD26" s="50">
        <v>6</v>
      </c>
      <c r="AE26" s="50">
        <v>6</v>
      </c>
      <c r="AF26" s="50">
        <v>6</v>
      </c>
      <c r="AG26" s="55">
        <v>23.5</v>
      </c>
      <c r="AH26" s="52">
        <f t="shared" si="2"/>
        <v>6</v>
      </c>
      <c r="AI26" s="53">
        <f t="shared" si="3"/>
        <v>6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188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188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188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5">
        <v>22</v>
      </c>
      <c r="AH29" s="52">
        <f t="shared" si="2"/>
        <v>4</v>
      </c>
      <c r="AI29" s="53">
        <f t="shared" si="3"/>
        <v>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11</v>
      </c>
      <c r="C30" s="50">
        <v>11</v>
      </c>
      <c r="D30" s="50">
        <v>11</v>
      </c>
      <c r="E30" s="50">
        <v>11</v>
      </c>
      <c r="F30" s="50">
        <v>11</v>
      </c>
      <c r="G30" s="50">
        <v>11</v>
      </c>
      <c r="H30" s="50">
        <v>11</v>
      </c>
      <c r="I30" s="50">
        <v>11</v>
      </c>
      <c r="J30" s="50">
        <v>11</v>
      </c>
      <c r="K30" s="50">
        <v>11</v>
      </c>
      <c r="L30" s="50">
        <v>11</v>
      </c>
      <c r="M30" s="50">
        <v>11</v>
      </c>
      <c r="N30" s="50">
        <v>11</v>
      </c>
      <c r="O30" s="50">
        <v>11</v>
      </c>
      <c r="P30" s="50">
        <v>11</v>
      </c>
      <c r="Q30" s="50">
        <v>11</v>
      </c>
      <c r="R30" s="50">
        <v>11</v>
      </c>
      <c r="S30" s="50">
        <v>11</v>
      </c>
      <c r="T30" s="50">
        <v>11</v>
      </c>
      <c r="U30" s="50">
        <v>11</v>
      </c>
      <c r="V30" s="50">
        <v>11</v>
      </c>
      <c r="W30" s="50">
        <v>11</v>
      </c>
      <c r="X30" s="50">
        <v>11</v>
      </c>
      <c r="Y30" s="188">
        <v>11</v>
      </c>
      <c r="Z30" s="50">
        <v>11</v>
      </c>
      <c r="AA30" s="50">
        <v>11</v>
      </c>
      <c r="AB30" s="50">
        <v>11</v>
      </c>
      <c r="AC30" s="50">
        <v>11</v>
      </c>
      <c r="AD30" s="50">
        <v>11</v>
      </c>
      <c r="AE30" s="50">
        <v>11</v>
      </c>
      <c r="AF30" s="50">
        <v>11</v>
      </c>
      <c r="AG30" s="55">
        <v>22</v>
      </c>
      <c r="AH30" s="52">
        <f t="shared" si="2"/>
        <v>11</v>
      </c>
      <c r="AI30" s="53">
        <f t="shared" si="3"/>
        <v>11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188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55">
        <v>20</v>
      </c>
      <c r="AH31" s="52">
        <f t="shared" si="2"/>
        <v>6</v>
      </c>
      <c r="AI31" s="53">
        <f t="shared" si="3"/>
        <v>6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>
        <v>4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188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188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188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188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188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188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5.2</v>
      </c>
      <c r="C38" s="50">
        <v>5.2</v>
      </c>
      <c r="D38" s="50">
        <v>5.2</v>
      </c>
      <c r="E38" s="50">
        <v>5.2</v>
      </c>
      <c r="F38" s="50">
        <v>5.2</v>
      </c>
      <c r="G38" s="50">
        <v>5.2</v>
      </c>
      <c r="H38" s="50">
        <v>5.2</v>
      </c>
      <c r="I38" s="50">
        <v>5.2</v>
      </c>
      <c r="J38" s="50">
        <v>5.2</v>
      </c>
      <c r="K38" s="50">
        <v>5.2</v>
      </c>
      <c r="L38" s="50">
        <v>5.2</v>
      </c>
      <c r="M38" s="50">
        <v>5.2</v>
      </c>
      <c r="N38" s="50">
        <v>5.2</v>
      </c>
      <c r="O38" s="50">
        <v>5.2</v>
      </c>
      <c r="P38" s="50">
        <v>5.2</v>
      </c>
      <c r="Q38" s="50">
        <v>5.2</v>
      </c>
      <c r="R38" s="50">
        <v>5.2</v>
      </c>
      <c r="S38" s="50">
        <v>5.2</v>
      </c>
      <c r="T38" s="50">
        <v>5.2</v>
      </c>
      <c r="U38" s="50">
        <v>5.2</v>
      </c>
      <c r="V38" s="50">
        <v>5.2</v>
      </c>
      <c r="W38" s="50">
        <v>5.2</v>
      </c>
      <c r="X38" s="50">
        <v>5.2</v>
      </c>
      <c r="Y38" s="188">
        <v>5.2</v>
      </c>
      <c r="Z38" s="50">
        <v>5.2</v>
      </c>
      <c r="AA38" s="50">
        <v>5.2</v>
      </c>
      <c r="AB38" s="50">
        <v>5.2</v>
      </c>
      <c r="AC38" s="50">
        <v>5.2</v>
      </c>
      <c r="AD38" s="50">
        <v>5.2</v>
      </c>
      <c r="AE38" s="50">
        <v>5.2</v>
      </c>
      <c r="AF38" s="50">
        <v>5.2</v>
      </c>
      <c r="AG38" s="55">
        <v>12</v>
      </c>
      <c r="AH38" s="52">
        <f t="shared" si="2"/>
        <v>5.2</v>
      </c>
      <c r="AI38" s="53">
        <f t="shared" si="3"/>
        <v>5.2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188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188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188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188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188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3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188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188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120</v>
      </c>
      <c r="C46" s="63">
        <v>120</v>
      </c>
      <c r="D46" s="63">
        <v>120</v>
      </c>
      <c r="E46" s="63">
        <v>120</v>
      </c>
      <c r="F46" s="63">
        <v>120</v>
      </c>
      <c r="G46" s="63">
        <v>120</v>
      </c>
      <c r="H46" s="63">
        <v>120</v>
      </c>
      <c r="I46" s="63">
        <v>120</v>
      </c>
      <c r="J46" s="63">
        <v>120</v>
      </c>
      <c r="K46" s="63">
        <v>120</v>
      </c>
      <c r="L46" s="63">
        <v>120</v>
      </c>
      <c r="M46" s="63">
        <v>120</v>
      </c>
      <c r="N46" s="63">
        <v>120</v>
      </c>
      <c r="O46" s="63">
        <v>120</v>
      </c>
      <c r="P46" s="63">
        <v>120</v>
      </c>
      <c r="Q46" s="63">
        <v>120</v>
      </c>
      <c r="R46" s="63">
        <v>120</v>
      </c>
      <c r="S46" s="63">
        <v>120</v>
      </c>
      <c r="T46" s="63">
        <v>120</v>
      </c>
      <c r="U46" s="63">
        <v>120</v>
      </c>
      <c r="V46" s="63">
        <v>120</v>
      </c>
      <c r="W46" s="63">
        <v>120</v>
      </c>
      <c r="X46" s="63">
        <v>120</v>
      </c>
      <c r="Y46" s="189">
        <v>120</v>
      </c>
      <c r="Z46" s="63">
        <v>120</v>
      </c>
      <c r="AA46" s="63">
        <v>120</v>
      </c>
      <c r="AB46" s="63">
        <v>120</v>
      </c>
      <c r="AC46" s="63">
        <v>120</v>
      </c>
      <c r="AD46" s="63">
        <v>120</v>
      </c>
      <c r="AE46" s="63">
        <v>120</v>
      </c>
      <c r="AF46" s="63">
        <v>120</v>
      </c>
      <c r="AG46" s="61">
        <v>85</v>
      </c>
      <c r="AH46" s="52">
        <f t="shared" si="2"/>
        <v>120</v>
      </c>
      <c r="AI46" s="53">
        <f t="shared" si="3"/>
        <v>120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189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 t="shared" ref="B48" si="4">SUM(B11:B46)</f>
        <v>377.69999999999993</v>
      </c>
      <c r="C48" s="67">
        <f t="shared" ref="C48:AF48" si="5">SUM(C11:C46)</f>
        <v>377.69999999999993</v>
      </c>
      <c r="D48" s="67">
        <f t="shared" si="5"/>
        <v>377.69999999999993</v>
      </c>
      <c r="E48" s="67">
        <f t="shared" si="5"/>
        <v>377.69999999999993</v>
      </c>
      <c r="F48" s="67">
        <f t="shared" si="5"/>
        <v>377.69999999999993</v>
      </c>
      <c r="G48" s="67">
        <f t="shared" si="5"/>
        <v>377.69999999999993</v>
      </c>
      <c r="H48" s="67">
        <f t="shared" si="5"/>
        <v>377.69999999999993</v>
      </c>
      <c r="I48" s="67">
        <f t="shared" si="5"/>
        <v>382</v>
      </c>
      <c r="J48" s="67">
        <f t="shared" si="5"/>
        <v>381.29999999999995</v>
      </c>
      <c r="K48" s="67">
        <f t="shared" si="5"/>
        <v>382.29999999999995</v>
      </c>
      <c r="L48" s="67">
        <f t="shared" si="5"/>
        <v>382.29999999999995</v>
      </c>
      <c r="M48" s="67">
        <f t="shared" ref="M48:O48" si="6">SUM(M11:M46)</f>
        <v>378.29999999999995</v>
      </c>
      <c r="N48" s="67">
        <f t="shared" si="6"/>
        <v>378.29999999999995</v>
      </c>
      <c r="O48" s="67">
        <f t="shared" si="6"/>
        <v>378.29999999999995</v>
      </c>
      <c r="P48" s="67">
        <f t="shared" si="5"/>
        <v>374.79999999999995</v>
      </c>
      <c r="Q48" s="67">
        <f t="shared" ref="Q48" si="7">SUM(Q11:Q46)</f>
        <v>382.79999999999995</v>
      </c>
      <c r="R48" s="67">
        <f t="shared" si="5"/>
        <v>382.79999999999995</v>
      </c>
      <c r="S48" s="67">
        <f t="shared" si="5"/>
        <v>386.79999999999995</v>
      </c>
      <c r="T48" s="67">
        <f t="shared" si="5"/>
        <v>386.79999999999995</v>
      </c>
      <c r="U48" s="67">
        <f t="shared" si="5"/>
        <v>386.79999999999995</v>
      </c>
      <c r="V48" s="67">
        <f t="shared" si="5"/>
        <v>386.79999999999995</v>
      </c>
      <c r="W48" s="67">
        <f t="shared" si="5"/>
        <v>386.79999999999995</v>
      </c>
      <c r="X48" s="67">
        <f>SUM(X11:X46)</f>
        <v>386.79999999999995</v>
      </c>
      <c r="Y48" s="67">
        <f t="shared" si="5"/>
        <v>386.79999999999995</v>
      </c>
      <c r="Z48" s="67">
        <f t="shared" si="5"/>
        <v>386.79999999999995</v>
      </c>
      <c r="AA48" s="67">
        <f t="shared" si="5"/>
        <v>386.79999999999995</v>
      </c>
      <c r="AB48" s="67">
        <f t="shared" si="5"/>
        <v>386.79999999999995</v>
      </c>
      <c r="AC48" s="67">
        <f t="shared" si="5"/>
        <v>386.79999999999995</v>
      </c>
      <c r="AD48" s="67">
        <f t="shared" si="5"/>
        <v>386.79999999999995</v>
      </c>
      <c r="AE48" s="67">
        <f t="shared" si="5"/>
        <v>386.79999999999995</v>
      </c>
      <c r="AF48" s="67">
        <f t="shared" si="5"/>
        <v>386.79999999999995</v>
      </c>
      <c r="AG48" s="68">
        <f t="shared" ref="AG48" si="8">SUM(AG12:AG46)</f>
        <v>875.68</v>
      </c>
      <c r="AH48" s="52">
        <f t="shared" si="2"/>
        <v>386.79999999999995</v>
      </c>
      <c r="AI48" s="53">
        <f t="shared" si="3"/>
        <v>374.79999999999995</v>
      </c>
      <c r="AK48" s="54"/>
    </row>
    <row r="49" spans="1:41" x14ac:dyDescent="0.25">
      <c r="A49" s="69" t="s">
        <v>57</v>
      </c>
      <c r="B49" s="50">
        <v>140</v>
      </c>
      <c r="C49" s="50">
        <v>120</v>
      </c>
      <c r="D49" s="50">
        <v>120</v>
      </c>
      <c r="E49" s="50">
        <v>90</v>
      </c>
      <c r="F49" s="50">
        <v>90</v>
      </c>
      <c r="G49" s="50">
        <v>90</v>
      </c>
      <c r="H49" s="50">
        <v>70</v>
      </c>
      <c r="I49" s="50">
        <v>70</v>
      </c>
      <c r="J49" s="50">
        <v>70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  <c r="Q49" s="50">
        <v>30</v>
      </c>
      <c r="R49" s="50">
        <v>70</v>
      </c>
      <c r="S49" s="50">
        <v>70</v>
      </c>
      <c r="T49" s="50">
        <v>70</v>
      </c>
      <c r="U49" s="50">
        <v>90</v>
      </c>
      <c r="V49" s="50">
        <v>40</v>
      </c>
      <c r="W49" s="50">
        <v>30</v>
      </c>
      <c r="X49" s="50">
        <v>30</v>
      </c>
      <c r="Y49" s="188">
        <v>30</v>
      </c>
      <c r="Z49" s="50">
        <v>30</v>
      </c>
      <c r="AA49" s="50">
        <v>40</v>
      </c>
      <c r="AB49" s="50">
        <v>47</v>
      </c>
      <c r="AC49" s="50">
        <v>47</v>
      </c>
      <c r="AD49" s="50">
        <v>26</v>
      </c>
      <c r="AE49" s="50">
        <v>60</v>
      </c>
      <c r="AF49" s="50">
        <v>60</v>
      </c>
      <c r="AG49" s="56">
        <v>456</v>
      </c>
      <c r="AH49" s="52">
        <f t="shared" si="2"/>
        <v>140</v>
      </c>
      <c r="AI49" s="53">
        <f t="shared" si="3"/>
        <v>0</v>
      </c>
      <c r="AK49" s="54"/>
    </row>
    <row r="50" spans="1:41" x14ac:dyDescent="0.25">
      <c r="A50" s="71" t="s">
        <v>58</v>
      </c>
      <c r="B50" s="72">
        <v>30</v>
      </c>
      <c r="C50" s="72">
        <v>30</v>
      </c>
      <c r="D50" s="72">
        <v>30</v>
      </c>
      <c r="E50" s="72">
        <v>30</v>
      </c>
      <c r="F50" s="72">
        <v>30</v>
      </c>
      <c r="G50" s="72">
        <v>30</v>
      </c>
      <c r="H50" s="72">
        <v>30</v>
      </c>
      <c r="I50" s="72">
        <v>30</v>
      </c>
      <c r="J50" s="72">
        <v>30</v>
      </c>
      <c r="K50" s="72">
        <v>30</v>
      </c>
      <c r="L50" s="72">
        <v>30</v>
      </c>
      <c r="M50" s="72">
        <v>30</v>
      </c>
      <c r="N50" s="72">
        <v>30</v>
      </c>
      <c r="O50" s="72">
        <v>30</v>
      </c>
      <c r="P50" s="72">
        <v>30</v>
      </c>
      <c r="Q50" s="72">
        <v>30</v>
      </c>
      <c r="R50" s="72">
        <v>30</v>
      </c>
      <c r="S50" s="72">
        <v>30</v>
      </c>
      <c r="T50" s="72">
        <v>30</v>
      </c>
      <c r="U50" s="72">
        <v>30</v>
      </c>
      <c r="V50" s="72">
        <v>30</v>
      </c>
      <c r="W50" s="72">
        <v>30</v>
      </c>
      <c r="X50" s="72">
        <v>30</v>
      </c>
      <c r="Y50" s="190">
        <v>30</v>
      </c>
      <c r="Z50" s="72">
        <v>30</v>
      </c>
      <c r="AA50" s="72">
        <v>30</v>
      </c>
      <c r="AB50" s="72">
        <v>30</v>
      </c>
      <c r="AC50" s="72">
        <v>30</v>
      </c>
      <c r="AD50" s="72">
        <v>30</v>
      </c>
      <c r="AE50" s="72">
        <v>30</v>
      </c>
      <c r="AF50" s="72">
        <v>30</v>
      </c>
      <c r="AG50" s="61">
        <v>60</v>
      </c>
      <c r="AH50" s="52">
        <f t="shared" si="2"/>
        <v>30</v>
      </c>
      <c r="AI50" s="53">
        <f t="shared" si="3"/>
        <v>30</v>
      </c>
      <c r="AK50" s="54"/>
    </row>
    <row r="51" spans="1:41" ht="15.75" thickBot="1" x14ac:dyDescent="0.3">
      <c r="A51" s="73" t="s">
        <v>59</v>
      </c>
      <c r="B51" s="74">
        <v>10.199999999999999</v>
      </c>
      <c r="C51" s="74">
        <v>10.199999999999999</v>
      </c>
      <c r="D51" s="74">
        <v>10.199999999999999</v>
      </c>
      <c r="E51" s="74">
        <v>10.199999999999999</v>
      </c>
      <c r="F51" s="74">
        <v>10.199999999999999</v>
      </c>
      <c r="G51" s="74">
        <v>10.199999999999999</v>
      </c>
      <c r="H51" s="74">
        <v>10.199999999999999</v>
      </c>
      <c r="I51" s="74">
        <v>10.199999999999999</v>
      </c>
      <c r="J51" s="74">
        <v>11</v>
      </c>
      <c r="K51" s="74">
        <v>11</v>
      </c>
      <c r="L51" s="74">
        <v>11</v>
      </c>
      <c r="M51" s="74">
        <v>11</v>
      </c>
      <c r="N51" s="74">
        <v>11</v>
      </c>
      <c r="O51" s="74">
        <v>11</v>
      </c>
      <c r="P51" s="74">
        <v>11</v>
      </c>
      <c r="Q51" s="74">
        <v>15</v>
      </c>
      <c r="R51" s="74">
        <v>23.6</v>
      </c>
      <c r="S51" s="74">
        <v>15</v>
      </c>
      <c r="T51" s="74">
        <v>15</v>
      </c>
      <c r="U51" s="74">
        <v>15</v>
      </c>
      <c r="V51" s="74">
        <v>15</v>
      </c>
      <c r="W51" s="74">
        <v>15</v>
      </c>
      <c r="X51" s="74">
        <v>15</v>
      </c>
      <c r="Y51" s="191">
        <v>15</v>
      </c>
      <c r="Z51" s="74">
        <v>15</v>
      </c>
      <c r="AA51" s="74">
        <v>15</v>
      </c>
      <c r="AB51" s="74">
        <v>15</v>
      </c>
      <c r="AC51" s="74">
        <v>15</v>
      </c>
      <c r="AD51" s="74">
        <v>15</v>
      </c>
      <c r="AE51" s="74">
        <v>15</v>
      </c>
      <c r="AF51" s="74">
        <v>15</v>
      </c>
      <c r="AG51" s="75">
        <v>22.1</v>
      </c>
      <c r="AH51" s="52">
        <f t="shared" si="2"/>
        <v>23.6</v>
      </c>
      <c r="AI51" s="53">
        <f t="shared" si="3"/>
        <v>10.199999999999999</v>
      </c>
      <c r="AK51" s="54"/>
    </row>
    <row r="52" spans="1:41" ht="15.75" thickBot="1" x14ac:dyDescent="0.3">
      <c r="A52" s="76" t="s">
        <v>60</v>
      </c>
      <c r="B52" s="67">
        <f t="shared" ref="B52" si="9">SUM(B49:B51)</f>
        <v>180.2</v>
      </c>
      <c r="C52" s="67">
        <f t="shared" ref="C52:AG52" si="10">SUM(C49:C51)</f>
        <v>160.19999999999999</v>
      </c>
      <c r="D52" s="67">
        <f t="shared" si="10"/>
        <v>160.19999999999999</v>
      </c>
      <c r="E52" s="67">
        <f t="shared" si="10"/>
        <v>130.19999999999999</v>
      </c>
      <c r="F52" s="67">
        <f t="shared" si="10"/>
        <v>130.19999999999999</v>
      </c>
      <c r="G52" s="67">
        <f t="shared" si="10"/>
        <v>130.19999999999999</v>
      </c>
      <c r="H52" s="67">
        <f t="shared" si="10"/>
        <v>110.2</v>
      </c>
      <c r="I52" s="67">
        <f t="shared" si="10"/>
        <v>110.2</v>
      </c>
      <c r="J52" s="67">
        <f t="shared" si="10"/>
        <v>111</v>
      </c>
      <c r="K52" s="67">
        <f t="shared" si="10"/>
        <v>41</v>
      </c>
      <c r="L52" s="67">
        <f t="shared" si="10"/>
        <v>41</v>
      </c>
      <c r="M52" s="67">
        <f t="shared" si="10"/>
        <v>41</v>
      </c>
      <c r="N52" s="67">
        <f t="shared" ref="N52:O52" si="11">SUM(N49:N51)</f>
        <v>41</v>
      </c>
      <c r="O52" s="67">
        <f t="shared" si="11"/>
        <v>41</v>
      </c>
      <c r="P52" s="67">
        <f t="shared" si="10"/>
        <v>41</v>
      </c>
      <c r="Q52" s="67">
        <f t="shared" ref="Q52" si="12">SUM(Q49:Q51)</f>
        <v>75</v>
      </c>
      <c r="R52" s="67">
        <f t="shared" si="10"/>
        <v>123.6</v>
      </c>
      <c r="S52" s="67">
        <f t="shared" si="10"/>
        <v>115</v>
      </c>
      <c r="T52" s="67">
        <f t="shared" si="10"/>
        <v>115</v>
      </c>
      <c r="U52" s="67">
        <f t="shared" si="10"/>
        <v>135</v>
      </c>
      <c r="V52" s="67">
        <f t="shared" si="10"/>
        <v>85</v>
      </c>
      <c r="W52" s="67">
        <f t="shared" si="10"/>
        <v>75</v>
      </c>
      <c r="X52" s="67">
        <f t="shared" si="10"/>
        <v>75</v>
      </c>
      <c r="Y52" s="67">
        <f t="shared" si="10"/>
        <v>75</v>
      </c>
      <c r="Z52" s="67">
        <f t="shared" si="10"/>
        <v>75</v>
      </c>
      <c r="AA52" s="67">
        <f t="shared" si="10"/>
        <v>85</v>
      </c>
      <c r="AB52" s="67">
        <f t="shared" si="10"/>
        <v>92</v>
      </c>
      <c r="AC52" s="67">
        <f t="shared" si="10"/>
        <v>92</v>
      </c>
      <c r="AD52" s="67">
        <f t="shared" si="10"/>
        <v>71</v>
      </c>
      <c r="AE52" s="67">
        <f t="shared" si="10"/>
        <v>105</v>
      </c>
      <c r="AF52" s="67">
        <f t="shared" si="10"/>
        <v>105</v>
      </c>
      <c r="AG52" s="68">
        <f t="shared" si="10"/>
        <v>538.1</v>
      </c>
      <c r="AH52" s="52">
        <f t="shared" si="2"/>
        <v>180.2</v>
      </c>
      <c r="AI52" s="53">
        <f t="shared" si="3"/>
        <v>41</v>
      </c>
      <c r="AK52" s="54"/>
    </row>
    <row r="53" spans="1:41" x14ac:dyDescent="0.25">
      <c r="A53" s="49" t="s">
        <v>61</v>
      </c>
      <c r="B53" s="50">
        <v>30</v>
      </c>
      <c r="C53" s="50">
        <v>30</v>
      </c>
      <c r="D53" s="50">
        <v>28</v>
      </c>
      <c r="E53" s="50">
        <v>28</v>
      </c>
      <c r="F53" s="50">
        <v>28</v>
      </c>
      <c r="G53" s="50">
        <v>35.4</v>
      </c>
      <c r="H53" s="50">
        <v>48.4</v>
      </c>
      <c r="I53" s="50">
        <v>48.4</v>
      </c>
      <c r="J53" s="50">
        <v>28.4</v>
      </c>
      <c r="K53" s="50">
        <v>34.9</v>
      </c>
      <c r="L53" s="50">
        <v>42.2</v>
      </c>
      <c r="M53" s="50">
        <v>40.6</v>
      </c>
      <c r="N53" s="50">
        <v>40.6</v>
      </c>
      <c r="O53" s="50">
        <v>35</v>
      </c>
      <c r="P53" s="50">
        <v>40</v>
      </c>
      <c r="Q53" s="50">
        <v>97.2</v>
      </c>
      <c r="R53" s="50">
        <v>110</v>
      </c>
      <c r="S53" s="50">
        <v>110</v>
      </c>
      <c r="T53" s="50">
        <v>110</v>
      </c>
      <c r="U53" s="50">
        <v>133.5</v>
      </c>
      <c r="V53" s="50">
        <v>142</v>
      </c>
      <c r="W53" s="50">
        <v>81</v>
      </c>
      <c r="X53" s="50">
        <v>89</v>
      </c>
      <c r="Y53" s="188">
        <v>70</v>
      </c>
      <c r="Z53" s="50">
        <v>70</v>
      </c>
      <c r="AA53" s="50">
        <v>97</v>
      </c>
      <c r="AB53" s="50">
        <v>97</v>
      </c>
      <c r="AC53" s="50">
        <v>97</v>
      </c>
      <c r="AD53" s="50">
        <v>30</v>
      </c>
      <c r="AE53" s="50">
        <v>30.5</v>
      </c>
      <c r="AF53" s="50">
        <v>50</v>
      </c>
      <c r="AG53" s="56">
        <v>144</v>
      </c>
      <c r="AH53" s="52">
        <f t="shared" si="2"/>
        <v>142</v>
      </c>
      <c r="AI53" s="53">
        <f t="shared" si="3"/>
        <v>28</v>
      </c>
      <c r="AK53" s="54"/>
    </row>
    <row r="54" spans="1:41" x14ac:dyDescent="0.25">
      <c r="A54" s="60" t="s">
        <v>62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34</v>
      </c>
      <c r="H54" s="72">
        <v>34.799999999999997</v>
      </c>
      <c r="I54" s="72">
        <v>34.799999999999997</v>
      </c>
      <c r="J54" s="72">
        <v>25</v>
      </c>
      <c r="K54" s="72">
        <v>34.299999999999997</v>
      </c>
      <c r="L54" s="72">
        <v>52.5</v>
      </c>
      <c r="M54" s="72">
        <v>44.3</v>
      </c>
      <c r="N54" s="72">
        <v>44.3</v>
      </c>
      <c r="O54" s="72">
        <v>33.799999999999997</v>
      </c>
      <c r="P54" s="72">
        <v>24</v>
      </c>
      <c r="Q54" s="72">
        <v>69.5</v>
      </c>
      <c r="R54" s="50">
        <v>70.599999999999994</v>
      </c>
      <c r="S54" s="50">
        <v>70.599999999999994</v>
      </c>
      <c r="T54" s="50">
        <v>70.599999999999994</v>
      </c>
      <c r="U54" s="50">
        <v>45.4</v>
      </c>
      <c r="V54" s="50">
        <v>56</v>
      </c>
      <c r="W54" s="50">
        <v>27</v>
      </c>
      <c r="X54" s="50">
        <v>24</v>
      </c>
      <c r="Y54" s="188">
        <v>22</v>
      </c>
      <c r="Z54" s="50">
        <v>22</v>
      </c>
      <c r="AA54" s="50">
        <v>20</v>
      </c>
      <c r="AB54" s="50">
        <v>20</v>
      </c>
      <c r="AC54" s="50">
        <v>20</v>
      </c>
      <c r="AD54" s="50">
        <v>0</v>
      </c>
      <c r="AE54" s="50">
        <v>0</v>
      </c>
      <c r="AF54" s="50">
        <v>0</v>
      </c>
      <c r="AG54" s="61">
        <v>70</v>
      </c>
      <c r="AH54" s="52">
        <f t="shared" si="2"/>
        <v>70.599999999999994</v>
      </c>
      <c r="AI54" s="53">
        <f t="shared" si="3"/>
        <v>0</v>
      </c>
      <c r="AK54" s="54"/>
    </row>
    <row r="55" spans="1:41" x14ac:dyDescent="0.25">
      <c r="A55" s="60" t="s">
        <v>63</v>
      </c>
      <c r="B55" s="72">
        <v>40.299999999999997</v>
      </c>
      <c r="C55" s="72">
        <v>40.299999999999997</v>
      </c>
      <c r="D55" s="72">
        <v>16</v>
      </c>
      <c r="E55" s="72">
        <v>16</v>
      </c>
      <c r="F55" s="72">
        <v>22.2</v>
      </c>
      <c r="G55" s="72">
        <v>15</v>
      </c>
      <c r="H55" s="72">
        <v>21</v>
      </c>
      <c r="I55" s="72">
        <v>21</v>
      </c>
      <c r="J55" s="72">
        <v>0</v>
      </c>
      <c r="K55" s="72">
        <v>0</v>
      </c>
      <c r="L55" s="72">
        <v>0</v>
      </c>
      <c r="M55" s="72">
        <v>0</v>
      </c>
      <c r="N55" s="72">
        <v>0</v>
      </c>
      <c r="O55" s="72">
        <v>0</v>
      </c>
      <c r="P55" s="72">
        <v>0</v>
      </c>
      <c r="Q55" s="72">
        <v>46.6</v>
      </c>
      <c r="R55" s="50">
        <v>46.7</v>
      </c>
      <c r="S55" s="50">
        <v>46.7</v>
      </c>
      <c r="T55" s="50">
        <v>46.7</v>
      </c>
      <c r="U55" s="50">
        <v>46.7</v>
      </c>
      <c r="V55" s="50">
        <v>46.7</v>
      </c>
      <c r="W55" s="50">
        <v>33</v>
      </c>
      <c r="X55" s="50">
        <v>41.7</v>
      </c>
      <c r="Y55" s="188">
        <v>33</v>
      </c>
      <c r="Z55" s="50">
        <v>33</v>
      </c>
      <c r="AA55" s="50">
        <v>35</v>
      </c>
      <c r="AB55" s="50">
        <v>35</v>
      </c>
      <c r="AC55" s="50">
        <v>35</v>
      </c>
      <c r="AD55" s="50">
        <v>32.4</v>
      </c>
      <c r="AE55" s="50">
        <v>32.4</v>
      </c>
      <c r="AF55" s="50">
        <v>46</v>
      </c>
      <c r="AG55" s="61">
        <v>69</v>
      </c>
      <c r="AH55" s="52">
        <f t="shared" si="2"/>
        <v>46.7</v>
      </c>
      <c r="AI55" s="53">
        <f t="shared" si="3"/>
        <v>0</v>
      </c>
      <c r="AK55" s="54"/>
    </row>
    <row r="56" spans="1:41" x14ac:dyDescent="0.25">
      <c r="A56" s="60" t="s">
        <v>64</v>
      </c>
      <c r="B56" s="72">
        <v>36.5</v>
      </c>
      <c r="C56" s="72">
        <v>36.5</v>
      </c>
      <c r="D56" s="72">
        <v>36.5</v>
      </c>
      <c r="E56" s="72">
        <v>36.5</v>
      </c>
      <c r="F56" s="72">
        <v>36.5</v>
      </c>
      <c r="G56" s="63">
        <v>36.5</v>
      </c>
      <c r="H56" s="63">
        <v>40.299999999999997</v>
      </c>
      <c r="I56" s="63">
        <v>40.299999999999997</v>
      </c>
      <c r="J56" s="63">
        <v>37</v>
      </c>
      <c r="K56" s="63">
        <v>37</v>
      </c>
      <c r="L56" s="63">
        <v>37</v>
      </c>
      <c r="M56" s="63">
        <v>37</v>
      </c>
      <c r="N56" s="63">
        <v>37</v>
      </c>
      <c r="O56" s="63">
        <v>37</v>
      </c>
      <c r="P56" s="72">
        <v>37</v>
      </c>
      <c r="Q56" s="72">
        <v>37</v>
      </c>
      <c r="R56" s="50">
        <v>36.799999999999997</v>
      </c>
      <c r="S56" s="50">
        <v>36.799999999999997</v>
      </c>
      <c r="T56" s="50">
        <v>36.799999999999997</v>
      </c>
      <c r="U56" s="50">
        <v>35.200000000000003</v>
      </c>
      <c r="V56" s="50">
        <v>35.200000000000003</v>
      </c>
      <c r="W56" s="50">
        <v>37</v>
      </c>
      <c r="X56" s="50">
        <v>37</v>
      </c>
      <c r="Y56" s="188">
        <v>37</v>
      </c>
      <c r="Z56" s="50">
        <v>37</v>
      </c>
      <c r="AA56" s="50">
        <v>10</v>
      </c>
      <c r="AB56" s="50">
        <v>10</v>
      </c>
      <c r="AC56" s="50">
        <v>10</v>
      </c>
      <c r="AD56" s="50">
        <v>10</v>
      </c>
      <c r="AE56" s="50">
        <v>10</v>
      </c>
      <c r="AF56" s="50">
        <v>10</v>
      </c>
      <c r="AG56" s="61">
        <v>60</v>
      </c>
      <c r="AH56" s="52">
        <f t="shared" si="2"/>
        <v>40.299999999999997</v>
      </c>
      <c r="AI56" s="53">
        <f t="shared" si="3"/>
        <v>10</v>
      </c>
      <c r="AK56" s="54"/>
    </row>
    <row r="57" spans="1:41" x14ac:dyDescent="0.25">
      <c r="A57" s="60" t="s">
        <v>65</v>
      </c>
      <c r="B57" s="50">
        <v>11.9</v>
      </c>
      <c r="C57" s="50">
        <v>11.9</v>
      </c>
      <c r="D57" s="50">
        <v>15</v>
      </c>
      <c r="E57" s="50">
        <v>14</v>
      </c>
      <c r="F57" s="50">
        <v>14</v>
      </c>
      <c r="G57" s="50">
        <v>14</v>
      </c>
      <c r="H57" s="63">
        <v>14</v>
      </c>
      <c r="I57" s="63">
        <v>14</v>
      </c>
      <c r="J57" s="63">
        <v>0</v>
      </c>
      <c r="K57" s="63">
        <v>0</v>
      </c>
      <c r="L57" s="63">
        <v>0</v>
      </c>
      <c r="M57" s="63">
        <v>0</v>
      </c>
      <c r="N57" s="63">
        <v>0</v>
      </c>
      <c r="O57" s="63">
        <v>0</v>
      </c>
      <c r="P57" s="72">
        <v>10.4</v>
      </c>
      <c r="Q57" s="72">
        <v>10.4</v>
      </c>
      <c r="R57" s="72">
        <v>10.4</v>
      </c>
      <c r="S57" s="72">
        <v>10.4</v>
      </c>
      <c r="T57" s="72">
        <v>10.4</v>
      </c>
      <c r="U57" s="72">
        <v>10.4</v>
      </c>
      <c r="V57" s="72">
        <v>10.4</v>
      </c>
      <c r="W57" s="72">
        <v>15</v>
      </c>
      <c r="X57" s="72">
        <v>10</v>
      </c>
      <c r="Y57" s="190">
        <v>10</v>
      </c>
      <c r="Z57" s="72">
        <v>10</v>
      </c>
      <c r="AA57" s="72">
        <v>10</v>
      </c>
      <c r="AB57" s="72">
        <v>10</v>
      </c>
      <c r="AC57" s="72">
        <v>10</v>
      </c>
      <c r="AD57" s="72">
        <v>0</v>
      </c>
      <c r="AE57" s="72">
        <v>0</v>
      </c>
      <c r="AF57" s="72">
        <v>0</v>
      </c>
      <c r="AG57" s="61">
        <v>30</v>
      </c>
      <c r="AH57" s="52">
        <f t="shared" si="2"/>
        <v>15</v>
      </c>
      <c r="AI57" s="53">
        <f t="shared" si="3"/>
        <v>0</v>
      </c>
      <c r="AK57" s="54"/>
    </row>
    <row r="58" spans="1:41" x14ac:dyDescent="0.25">
      <c r="A58" s="60" t="s">
        <v>66</v>
      </c>
      <c r="B58" s="50">
        <v>0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72">
        <v>16.100000000000001</v>
      </c>
      <c r="Q58" s="72">
        <v>16.100000000000001</v>
      </c>
      <c r="R58" s="72">
        <v>16.100000000000001</v>
      </c>
      <c r="S58" s="72">
        <v>16.100000000000001</v>
      </c>
      <c r="T58" s="72">
        <v>16.100000000000001</v>
      </c>
      <c r="U58" s="72">
        <v>14</v>
      </c>
      <c r="V58" s="72">
        <v>10</v>
      </c>
      <c r="W58" s="72">
        <v>0.6</v>
      </c>
      <c r="X58" s="72">
        <v>0.4</v>
      </c>
      <c r="Y58" s="190">
        <v>0</v>
      </c>
      <c r="Z58" s="72">
        <v>0</v>
      </c>
      <c r="AA58" s="7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1">
        <v>25</v>
      </c>
      <c r="AH58" s="52">
        <f t="shared" si="2"/>
        <v>16.100000000000001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15.5</v>
      </c>
      <c r="C59" s="72">
        <v>15.5</v>
      </c>
      <c r="D59" s="72">
        <v>15.5</v>
      </c>
      <c r="E59" s="72">
        <v>15.5</v>
      </c>
      <c r="F59" s="72">
        <v>15.5</v>
      </c>
      <c r="G59" s="72">
        <v>15.5</v>
      </c>
      <c r="H59" s="72">
        <v>15.5</v>
      </c>
      <c r="I59" s="72">
        <v>15.5</v>
      </c>
      <c r="J59" s="72">
        <v>15.5</v>
      </c>
      <c r="K59" s="72">
        <v>15.5</v>
      </c>
      <c r="L59" s="72">
        <v>15.5</v>
      </c>
      <c r="M59" s="72">
        <v>15.5</v>
      </c>
      <c r="N59" s="72">
        <v>15.5</v>
      </c>
      <c r="O59" s="72">
        <v>15.5</v>
      </c>
      <c r="P59" s="72">
        <v>15.5</v>
      </c>
      <c r="Q59" s="72">
        <v>15.5</v>
      </c>
      <c r="R59" s="72">
        <v>15.5</v>
      </c>
      <c r="S59" s="72">
        <v>15.5</v>
      </c>
      <c r="T59" s="72">
        <v>15.5</v>
      </c>
      <c r="U59" s="72">
        <v>15.5</v>
      </c>
      <c r="V59" s="72">
        <v>15.5</v>
      </c>
      <c r="W59" s="72">
        <v>15.5</v>
      </c>
      <c r="X59" s="72">
        <v>15.5</v>
      </c>
      <c r="Y59" s="190">
        <v>15.5</v>
      </c>
      <c r="Z59" s="72">
        <v>15.5</v>
      </c>
      <c r="AA59" s="72">
        <v>15.5</v>
      </c>
      <c r="AB59" s="72">
        <v>15.5</v>
      </c>
      <c r="AC59" s="72">
        <v>15.5</v>
      </c>
      <c r="AD59" s="72">
        <v>15.5</v>
      </c>
      <c r="AE59" s="72">
        <v>15.5</v>
      </c>
      <c r="AF59" s="72">
        <v>15.5</v>
      </c>
      <c r="AG59" s="61">
        <v>24</v>
      </c>
      <c r="AH59" s="52">
        <f t="shared" si="2"/>
        <v>15.5</v>
      </c>
      <c r="AI59" s="53">
        <f t="shared" si="3"/>
        <v>15.5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190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9.9</v>
      </c>
      <c r="C61" s="72">
        <v>9.9</v>
      </c>
      <c r="D61" s="72">
        <v>9.9</v>
      </c>
      <c r="E61" s="72">
        <v>9.9</v>
      </c>
      <c r="F61" s="72">
        <v>9.9</v>
      </c>
      <c r="G61" s="72">
        <v>9.9</v>
      </c>
      <c r="H61" s="72">
        <v>9.9</v>
      </c>
      <c r="I61" s="72">
        <v>9.9</v>
      </c>
      <c r="J61" s="72">
        <v>9.9</v>
      </c>
      <c r="K61" s="72">
        <v>9.9</v>
      </c>
      <c r="L61" s="72">
        <v>9.9</v>
      </c>
      <c r="M61" s="72">
        <v>9.9</v>
      </c>
      <c r="N61" s="72">
        <v>9.9</v>
      </c>
      <c r="O61" s="72">
        <v>9.9</v>
      </c>
      <c r="P61" s="72">
        <v>9.3000000000000007</v>
      </c>
      <c r="Q61" s="72">
        <v>9.3000000000000007</v>
      </c>
      <c r="R61" s="72">
        <v>9.3000000000000007</v>
      </c>
      <c r="S61" s="72">
        <v>9.3000000000000007</v>
      </c>
      <c r="T61" s="72">
        <v>9.3000000000000007</v>
      </c>
      <c r="U61" s="72">
        <v>9.3000000000000007</v>
      </c>
      <c r="V61" s="72">
        <v>9.3000000000000007</v>
      </c>
      <c r="W61" s="72">
        <v>9.3000000000000007</v>
      </c>
      <c r="X61" s="72">
        <v>9.3000000000000007</v>
      </c>
      <c r="Y61" s="190">
        <v>9.3000000000000007</v>
      </c>
      <c r="Z61" s="72">
        <v>9.3000000000000007</v>
      </c>
      <c r="AA61" s="72">
        <v>9.3000000000000007</v>
      </c>
      <c r="AB61" s="72">
        <v>9.3000000000000007</v>
      </c>
      <c r="AC61" s="72">
        <v>9.3000000000000007</v>
      </c>
      <c r="AD61" s="72">
        <v>9.3000000000000007</v>
      </c>
      <c r="AE61" s="72">
        <v>9.3000000000000007</v>
      </c>
      <c r="AF61" s="72">
        <v>9.3000000000000007</v>
      </c>
      <c r="AG61" s="61">
        <v>14.1</v>
      </c>
      <c r="AH61" s="52">
        <f t="shared" si="2"/>
        <v>9.9</v>
      </c>
      <c r="AI61" s="53">
        <f t="shared" si="3"/>
        <v>9.3000000000000007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5.5</v>
      </c>
      <c r="C62" s="72">
        <v>5.5</v>
      </c>
      <c r="D62" s="72">
        <v>5.5</v>
      </c>
      <c r="E62" s="72">
        <v>5.5</v>
      </c>
      <c r="F62" s="72">
        <v>5.5</v>
      </c>
      <c r="G62" s="72">
        <v>5.5</v>
      </c>
      <c r="H62" s="72">
        <v>5.5</v>
      </c>
      <c r="I62" s="72">
        <v>5.5</v>
      </c>
      <c r="J62" s="72">
        <v>5.5</v>
      </c>
      <c r="K62" s="72">
        <v>5.5</v>
      </c>
      <c r="L62" s="72">
        <v>5.5</v>
      </c>
      <c r="M62" s="72">
        <v>5.5</v>
      </c>
      <c r="N62" s="72">
        <v>5.5</v>
      </c>
      <c r="O62" s="72">
        <v>5.5</v>
      </c>
      <c r="P62" s="72">
        <v>7</v>
      </c>
      <c r="Q62" s="72">
        <v>7</v>
      </c>
      <c r="R62" s="72">
        <v>7</v>
      </c>
      <c r="S62" s="72">
        <v>7</v>
      </c>
      <c r="T62" s="72">
        <v>7</v>
      </c>
      <c r="U62" s="72">
        <v>7</v>
      </c>
      <c r="V62" s="72">
        <v>7</v>
      </c>
      <c r="W62" s="72">
        <v>7</v>
      </c>
      <c r="X62" s="72">
        <v>0</v>
      </c>
      <c r="Y62" s="190">
        <v>0</v>
      </c>
      <c r="Z62" s="72">
        <v>0</v>
      </c>
      <c r="AA62" s="72">
        <v>0</v>
      </c>
      <c r="AB62" s="72">
        <v>0</v>
      </c>
      <c r="AC62" s="72">
        <v>0</v>
      </c>
      <c r="AD62" s="72">
        <v>0</v>
      </c>
      <c r="AE62" s="72">
        <v>0</v>
      </c>
      <c r="AF62" s="72">
        <v>0</v>
      </c>
      <c r="AG62" s="61">
        <v>14</v>
      </c>
      <c r="AH62" s="52">
        <f t="shared" si="2"/>
        <v>7</v>
      </c>
      <c r="AI62" s="53">
        <f t="shared" si="3"/>
        <v>0</v>
      </c>
      <c r="AK62" s="54"/>
    </row>
    <row r="63" spans="1:41" x14ac:dyDescent="0.25">
      <c r="A63" s="60" t="s">
        <v>71</v>
      </c>
      <c r="B63" s="72">
        <v>3</v>
      </c>
      <c r="C63" s="72">
        <v>3</v>
      </c>
      <c r="D63" s="72">
        <v>3</v>
      </c>
      <c r="E63" s="72">
        <v>3</v>
      </c>
      <c r="F63" s="72">
        <v>3</v>
      </c>
      <c r="G63" s="72">
        <v>3</v>
      </c>
      <c r="H63" s="72">
        <v>3</v>
      </c>
      <c r="I63" s="72">
        <v>3</v>
      </c>
      <c r="J63" s="72">
        <v>3</v>
      </c>
      <c r="K63" s="72">
        <v>3</v>
      </c>
      <c r="L63" s="72">
        <v>3</v>
      </c>
      <c r="M63" s="72">
        <v>3</v>
      </c>
      <c r="N63" s="72">
        <v>3</v>
      </c>
      <c r="O63" s="72">
        <v>3</v>
      </c>
      <c r="P63" s="72">
        <v>3</v>
      </c>
      <c r="Q63" s="72">
        <v>3</v>
      </c>
      <c r="R63" s="72">
        <v>3</v>
      </c>
      <c r="S63" s="72">
        <v>3</v>
      </c>
      <c r="T63" s="72">
        <v>3</v>
      </c>
      <c r="U63" s="72">
        <v>3</v>
      </c>
      <c r="V63" s="72">
        <v>3</v>
      </c>
      <c r="W63" s="72">
        <v>3</v>
      </c>
      <c r="X63" s="72">
        <v>3</v>
      </c>
      <c r="Y63" s="190">
        <v>3</v>
      </c>
      <c r="Z63" s="72">
        <v>3</v>
      </c>
      <c r="AA63" s="72">
        <v>3</v>
      </c>
      <c r="AB63" s="72">
        <v>3</v>
      </c>
      <c r="AC63" s="72">
        <v>3</v>
      </c>
      <c r="AD63" s="72">
        <v>3</v>
      </c>
      <c r="AE63" s="72">
        <v>3</v>
      </c>
      <c r="AF63" s="72">
        <v>3</v>
      </c>
      <c r="AG63" s="61">
        <v>10.050000000000001</v>
      </c>
      <c r="AH63" s="52">
        <f t="shared" si="2"/>
        <v>3</v>
      </c>
      <c r="AI63" s="53">
        <f t="shared" si="3"/>
        <v>3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190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192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" si="13">SUM(B53:B65)</f>
        <v>158.13999999999999</v>
      </c>
      <c r="C66" s="67">
        <f t="shared" ref="C66:AG66" si="14">SUM(C53:C65)</f>
        <v>158.13999999999999</v>
      </c>
      <c r="D66" s="67">
        <f t="shared" si="14"/>
        <v>134.94</v>
      </c>
      <c r="E66" s="67">
        <f t="shared" si="14"/>
        <v>133.94</v>
      </c>
      <c r="F66" s="67">
        <f t="shared" si="14"/>
        <v>140.14000000000001</v>
      </c>
      <c r="G66" s="67">
        <f t="shared" si="14"/>
        <v>174.34</v>
      </c>
      <c r="H66" s="67">
        <f t="shared" si="14"/>
        <v>197.94</v>
      </c>
      <c r="I66" s="67">
        <f t="shared" si="14"/>
        <v>197.94</v>
      </c>
      <c r="J66" s="67">
        <f t="shared" si="14"/>
        <v>129.84</v>
      </c>
      <c r="K66" s="67">
        <f t="shared" si="14"/>
        <v>145.63999999999999</v>
      </c>
      <c r="L66" s="67">
        <f t="shared" si="14"/>
        <v>171.14</v>
      </c>
      <c r="M66" s="67">
        <f t="shared" si="14"/>
        <v>161.34</v>
      </c>
      <c r="N66" s="67">
        <f t="shared" ref="N66:O66" si="15">SUM(N53:N65)</f>
        <v>161.34</v>
      </c>
      <c r="O66" s="67">
        <f t="shared" si="15"/>
        <v>145.23999999999998</v>
      </c>
      <c r="P66" s="67">
        <f t="shared" si="14"/>
        <v>167.84</v>
      </c>
      <c r="Q66" s="67">
        <f t="shared" ref="Q66" si="16">SUM(Q53:Q65)</f>
        <v>317.14000000000004</v>
      </c>
      <c r="R66" s="67">
        <f t="shared" si="14"/>
        <v>330.94000000000005</v>
      </c>
      <c r="S66" s="67">
        <f t="shared" si="14"/>
        <v>330.94000000000005</v>
      </c>
      <c r="T66" s="67">
        <f t="shared" si="14"/>
        <v>330.94000000000005</v>
      </c>
      <c r="U66" s="67">
        <f t="shared" si="14"/>
        <v>325.54000000000002</v>
      </c>
      <c r="V66" s="67">
        <f t="shared" si="14"/>
        <v>340.64</v>
      </c>
      <c r="W66" s="67">
        <f t="shared" si="14"/>
        <v>233.94</v>
      </c>
      <c r="X66" s="67">
        <f t="shared" si="14"/>
        <v>235.44</v>
      </c>
      <c r="Y66" s="67">
        <f t="shared" si="14"/>
        <v>205.34</v>
      </c>
      <c r="Z66" s="67">
        <f t="shared" si="14"/>
        <v>205.34</v>
      </c>
      <c r="AA66" s="67">
        <f t="shared" si="14"/>
        <v>205.34</v>
      </c>
      <c r="AB66" s="67">
        <f t="shared" si="14"/>
        <v>205.34</v>
      </c>
      <c r="AC66" s="67">
        <f t="shared" si="14"/>
        <v>205.34</v>
      </c>
      <c r="AD66" s="67">
        <f t="shared" si="14"/>
        <v>105.74000000000001</v>
      </c>
      <c r="AE66" s="67">
        <f t="shared" si="14"/>
        <v>106.24000000000001</v>
      </c>
      <c r="AF66" s="67">
        <f t="shared" si="14"/>
        <v>139.34</v>
      </c>
      <c r="AG66" s="68">
        <f t="shared" si="14"/>
        <v>489.91</v>
      </c>
      <c r="AH66" s="52">
        <f t="shared" si="2"/>
        <v>340.64</v>
      </c>
      <c r="AI66" s="53">
        <f t="shared" si="3"/>
        <v>105.74000000000001</v>
      </c>
      <c r="AK66" s="54"/>
    </row>
    <row r="67" spans="1:40" x14ac:dyDescent="0.25">
      <c r="A67" s="49" t="s">
        <v>75</v>
      </c>
      <c r="B67" s="50">
        <v>60</v>
      </c>
      <c r="C67" s="50">
        <v>60</v>
      </c>
      <c r="D67" s="50">
        <v>60</v>
      </c>
      <c r="E67" s="50">
        <v>60</v>
      </c>
      <c r="F67" s="50">
        <v>60</v>
      </c>
      <c r="G67" s="50">
        <v>60</v>
      </c>
      <c r="H67" s="50">
        <v>60</v>
      </c>
      <c r="I67" s="50">
        <v>60</v>
      </c>
      <c r="J67" s="50">
        <v>45</v>
      </c>
      <c r="K67" s="50">
        <v>60</v>
      </c>
      <c r="L67" s="50">
        <v>60</v>
      </c>
      <c r="M67" s="50">
        <v>60</v>
      </c>
      <c r="N67" s="50">
        <v>60</v>
      </c>
      <c r="O67" s="50">
        <v>60</v>
      </c>
      <c r="P67" s="50">
        <v>60</v>
      </c>
      <c r="Q67" s="50">
        <v>60</v>
      </c>
      <c r="R67" s="50">
        <v>60</v>
      </c>
      <c r="S67" s="50">
        <v>60</v>
      </c>
      <c r="T67" s="50">
        <v>60</v>
      </c>
      <c r="U67" s="50">
        <v>60</v>
      </c>
      <c r="V67" s="50">
        <v>60</v>
      </c>
      <c r="W67" s="50">
        <v>60</v>
      </c>
      <c r="X67" s="50">
        <v>60</v>
      </c>
      <c r="Y67" s="188">
        <v>60</v>
      </c>
      <c r="Z67" s="50">
        <v>60</v>
      </c>
      <c r="AA67" s="50">
        <v>60</v>
      </c>
      <c r="AB67" s="50">
        <v>40</v>
      </c>
      <c r="AC67" s="50">
        <v>40</v>
      </c>
      <c r="AD67" s="50">
        <v>40</v>
      </c>
      <c r="AE67" s="50">
        <v>40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40</v>
      </c>
      <c r="AK67" s="54"/>
    </row>
    <row r="68" spans="1:40" x14ac:dyDescent="0.25">
      <c r="A68" s="60" t="s">
        <v>76</v>
      </c>
      <c r="B68" s="72">
        <v>15</v>
      </c>
      <c r="C68" s="72">
        <v>15</v>
      </c>
      <c r="D68" s="72">
        <v>15</v>
      </c>
      <c r="E68" s="72">
        <v>28.6</v>
      </c>
      <c r="F68" s="72">
        <v>28.6</v>
      </c>
      <c r="G68" s="72">
        <v>28.6</v>
      </c>
      <c r="H68" s="72">
        <v>28.6</v>
      </c>
      <c r="I68" s="72">
        <v>28.6</v>
      </c>
      <c r="J68" s="72">
        <v>20</v>
      </c>
      <c r="K68" s="72">
        <v>28.6</v>
      </c>
      <c r="L68" s="72">
        <v>28.6</v>
      </c>
      <c r="M68" s="72">
        <v>28.6</v>
      </c>
      <c r="N68" s="72">
        <v>28.6</v>
      </c>
      <c r="O68" s="72">
        <v>28.6</v>
      </c>
      <c r="P68" s="72">
        <v>29.3</v>
      </c>
      <c r="Q68" s="72">
        <v>29.3</v>
      </c>
      <c r="R68" s="72">
        <v>29.3</v>
      </c>
      <c r="S68" s="72">
        <v>29.3</v>
      </c>
      <c r="T68" s="72">
        <v>29.3</v>
      </c>
      <c r="U68" s="72">
        <v>29.3</v>
      </c>
      <c r="V68" s="72">
        <v>29.3</v>
      </c>
      <c r="W68" s="72">
        <v>29.3</v>
      </c>
      <c r="X68" s="72">
        <v>29.3</v>
      </c>
      <c r="Y68" s="190">
        <v>29.3</v>
      </c>
      <c r="Z68" s="72">
        <v>29.3</v>
      </c>
      <c r="AA68" s="72">
        <v>29.3</v>
      </c>
      <c r="AB68" s="72">
        <v>18</v>
      </c>
      <c r="AC68" s="72">
        <v>18</v>
      </c>
      <c r="AD68" s="72">
        <v>18</v>
      </c>
      <c r="AE68" s="72">
        <v>18</v>
      </c>
      <c r="AF68" s="72">
        <v>28</v>
      </c>
      <c r="AG68" s="61">
        <v>32</v>
      </c>
      <c r="AH68" s="52">
        <f t="shared" si="2"/>
        <v>29.3</v>
      </c>
      <c r="AI68" s="53">
        <f t="shared" si="3"/>
        <v>15</v>
      </c>
      <c r="AK68" s="54"/>
    </row>
    <row r="69" spans="1:40" ht="15.75" thickBot="1" x14ac:dyDescent="0.3">
      <c r="A69" s="78" t="s">
        <v>77</v>
      </c>
      <c r="B69" s="74">
        <v>5.5</v>
      </c>
      <c r="C69" s="74">
        <v>5.5</v>
      </c>
      <c r="D69" s="74">
        <v>5.5</v>
      </c>
      <c r="E69" s="74">
        <v>10.4</v>
      </c>
      <c r="F69" s="74">
        <v>10.4</v>
      </c>
      <c r="G69" s="74">
        <v>10.4</v>
      </c>
      <c r="H69" s="74">
        <v>10.4</v>
      </c>
      <c r="I69" s="74">
        <v>10.4</v>
      </c>
      <c r="J69" s="74">
        <v>7.2</v>
      </c>
      <c r="K69" s="74">
        <v>10.4</v>
      </c>
      <c r="L69" s="74">
        <v>10.4</v>
      </c>
      <c r="M69" s="74">
        <v>10.4</v>
      </c>
      <c r="N69" s="74">
        <v>10.4</v>
      </c>
      <c r="O69" s="74">
        <v>10.4</v>
      </c>
      <c r="P69" s="74">
        <v>7</v>
      </c>
      <c r="Q69" s="74">
        <v>7</v>
      </c>
      <c r="R69" s="74">
        <v>7</v>
      </c>
      <c r="S69" s="74">
        <v>7</v>
      </c>
      <c r="T69" s="74">
        <v>7</v>
      </c>
      <c r="U69" s="74">
        <v>7</v>
      </c>
      <c r="V69" s="74">
        <v>7</v>
      </c>
      <c r="W69" s="74">
        <v>7</v>
      </c>
      <c r="X69" s="74">
        <v>7</v>
      </c>
      <c r="Y69" s="191">
        <v>7</v>
      </c>
      <c r="Z69" s="74">
        <v>7</v>
      </c>
      <c r="AA69" s="74">
        <v>7</v>
      </c>
      <c r="AB69" s="74">
        <v>6.6</v>
      </c>
      <c r="AC69" s="74">
        <v>6.6</v>
      </c>
      <c r="AD69" s="74">
        <v>6.6</v>
      </c>
      <c r="AE69" s="74">
        <v>6.6</v>
      </c>
      <c r="AF69" s="74">
        <v>10.4</v>
      </c>
      <c r="AG69" s="75">
        <v>14</v>
      </c>
      <c r="AH69" s="52">
        <f t="shared" si="2"/>
        <v>10.4</v>
      </c>
      <c r="AI69" s="53">
        <f t="shared" si="3"/>
        <v>5.5</v>
      </c>
      <c r="AK69" s="54"/>
    </row>
    <row r="70" spans="1:40" ht="15.75" thickBot="1" x14ac:dyDescent="0.3">
      <c r="A70" s="81" t="s">
        <v>78</v>
      </c>
      <c r="B70" s="67">
        <f t="shared" ref="B70:L70" si="17">B67+B68+B69</f>
        <v>80.5</v>
      </c>
      <c r="C70" s="67">
        <f t="shared" si="17"/>
        <v>80.5</v>
      </c>
      <c r="D70" s="67">
        <f t="shared" si="17"/>
        <v>80.5</v>
      </c>
      <c r="E70" s="67">
        <f t="shared" si="17"/>
        <v>99</v>
      </c>
      <c r="F70" s="67">
        <f t="shared" si="17"/>
        <v>99</v>
      </c>
      <c r="G70" s="67">
        <f t="shared" si="17"/>
        <v>99</v>
      </c>
      <c r="H70" s="67">
        <f t="shared" si="17"/>
        <v>99</v>
      </c>
      <c r="I70" s="67">
        <f t="shared" si="17"/>
        <v>99</v>
      </c>
      <c r="J70" s="67">
        <f t="shared" si="17"/>
        <v>72.2</v>
      </c>
      <c r="K70" s="67">
        <f t="shared" si="17"/>
        <v>99</v>
      </c>
      <c r="L70" s="67">
        <f t="shared" si="17"/>
        <v>99</v>
      </c>
      <c r="M70" s="67">
        <f t="shared" ref="M70:AF70" si="18">M67+M68+M69</f>
        <v>99</v>
      </c>
      <c r="N70" s="67">
        <f t="shared" ref="N70:O70" si="19">N67+N68+N69</f>
        <v>99</v>
      </c>
      <c r="O70" s="67">
        <f t="shared" si="19"/>
        <v>99</v>
      </c>
      <c r="P70" s="67">
        <f t="shared" si="18"/>
        <v>96.3</v>
      </c>
      <c r="Q70" s="67">
        <f t="shared" ref="Q70" si="20">Q67+Q68+Q69</f>
        <v>96.3</v>
      </c>
      <c r="R70" s="67">
        <f t="shared" si="18"/>
        <v>96.3</v>
      </c>
      <c r="S70" s="67">
        <f t="shared" si="18"/>
        <v>96.3</v>
      </c>
      <c r="T70" s="67">
        <f t="shared" si="18"/>
        <v>96.3</v>
      </c>
      <c r="U70" s="67">
        <f t="shared" si="18"/>
        <v>96.3</v>
      </c>
      <c r="V70" s="67">
        <f t="shared" si="18"/>
        <v>96.3</v>
      </c>
      <c r="W70" s="67">
        <f t="shared" si="18"/>
        <v>96.3</v>
      </c>
      <c r="X70" s="67">
        <f t="shared" si="18"/>
        <v>96.3</v>
      </c>
      <c r="Y70" s="67">
        <f t="shared" si="18"/>
        <v>96.3</v>
      </c>
      <c r="Z70" s="67">
        <f t="shared" si="18"/>
        <v>96.3</v>
      </c>
      <c r="AA70" s="67">
        <f t="shared" si="18"/>
        <v>96.3</v>
      </c>
      <c r="AB70" s="67">
        <f t="shared" si="18"/>
        <v>64.599999999999994</v>
      </c>
      <c r="AC70" s="67">
        <f t="shared" si="18"/>
        <v>64.599999999999994</v>
      </c>
      <c r="AD70" s="67">
        <f t="shared" si="18"/>
        <v>64.599999999999994</v>
      </c>
      <c r="AE70" s="67">
        <f t="shared" si="18"/>
        <v>64.599999999999994</v>
      </c>
      <c r="AF70" s="67">
        <f t="shared" si="18"/>
        <v>98.4</v>
      </c>
      <c r="AG70" s="68">
        <f>SUM(AG67:AG69)</f>
        <v>106</v>
      </c>
      <c r="AH70" s="52">
        <f t="shared" si="2"/>
        <v>99</v>
      </c>
      <c r="AI70" s="53">
        <f t="shared" si="3"/>
        <v>64.599999999999994</v>
      </c>
      <c r="AK70" s="54"/>
    </row>
    <row r="71" spans="1:40" x14ac:dyDescent="0.25">
      <c r="A71" s="49" t="s">
        <v>79</v>
      </c>
      <c r="B71" s="50">
        <v>72</v>
      </c>
      <c r="C71" s="50">
        <v>72</v>
      </c>
      <c r="D71" s="50">
        <v>75.400000000000006</v>
      </c>
      <c r="E71" s="50">
        <v>74.900000000000006</v>
      </c>
      <c r="F71" s="50">
        <v>75.8</v>
      </c>
      <c r="G71" s="50">
        <v>75</v>
      </c>
      <c r="H71" s="50">
        <v>62</v>
      </c>
      <c r="I71" s="50">
        <v>68.7</v>
      </c>
      <c r="J71" s="50">
        <v>70</v>
      </c>
      <c r="K71" s="50">
        <v>74.7</v>
      </c>
      <c r="L71" s="50">
        <v>65.3</v>
      </c>
      <c r="M71" s="50">
        <v>76.400000000000006</v>
      </c>
      <c r="N71" s="50">
        <v>65</v>
      </c>
      <c r="O71" s="50">
        <v>62.8</v>
      </c>
      <c r="P71" s="50">
        <v>71</v>
      </c>
      <c r="Q71" s="50">
        <v>65</v>
      </c>
      <c r="R71" s="50">
        <v>68.5</v>
      </c>
      <c r="S71" s="50">
        <v>68.5</v>
      </c>
      <c r="T71" s="50">
        <v>68.5</v>
      </c>
      <c r="U71" s="50">
        <v>68.5</v>
      </c>
      <c r="V71" s="50">
        <v>68.5</v>
      </c>
      <c r="W71" s="50">
        <v>68.5</v>
      </c>
      <c r="X71" s="50">
        <v>66</v>
      </c>
      <c r="Y71" s="188">
        <v>69.5</v>
      </c>
      <c r="Z71" s="50">
        <v>69.5</v>
      </c>
      <c r="AA71" s="50">
        <v>69.5</v>
      </c>
      <c r="AB71" s="50">
        <v>69.5</v>
      </c>
      <c r="AC71" s="50">
        <v>69.5</v>
      </c>
      <c r="AD71" s="50">
        <v>60</v>
      </c>
      <c r="AE71" s="50">
        <v>60</v>
      </c>
      <c r="AF71" s="50">
        <v>65</v>
      </c>
      <c r="AG71" s="56"/>
      <c r="AH71" s="52">
        <f t="shared" si="2"/>
        <v>76.400000000000006</v>
      </c>
      <c r="AI71" s="53">
        <f t="shared" si="3"/>
        <v>60</v>
      </c>
      <c r="AK71" s="54"/>
    </row>
    <row r="72" spans="1:40" x14ac:dyDescent="0.25">
      <c r="A72" s="60" t="s">
        <v>80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190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385</v>
      </c>
      <c r="C73" s="72">
        <v>408</v>
      </c>
      <c r="D73" s="72">
        <v>386</v>
      </c>
      <c r="E73" s="72">
        <v>389</v>
      </c>
      <c r="F73" s="72">
        <v>384</v>
      </c>
      <c r="G73" s="72">
        <v>382</v>
      </c>
      <c r="H73" s="72">
        <v>397</v>
      </c>
      <c r="I73" s="72">
        <v>400</v>
      </c>
      <c r="J73" s="72">
        <v>370</v>
      </c>
      <c r="K73" s="72">
        <v>430</v>
      </c>
      <c r="L73" s="72">
        <v>440</v>
      </c>
      <c r="M73" s="72">
        <v>440</v>
      </c>
      <c r="N73" s="72">
        <v>440</v>
      </c>
      <c r="O73" s="72">
        <v>450</v>
      </c>
      <c r="P73" s="72">
        <v>446</v>
      </c>
      <c r="Q73" s="72">
        <v>450</v>
      </c>
      <c r="R73" s="72">
        <v>480</v>
      </c>
      <c r="S73" s="72">
        <v>450</v>
      </c>
      <c r="T73" s="72">
        <v>423</v>
      </c>
      <c r="U73" s="72">
        <v>460</v>
      </c>
      <c r="V73" s="72">
        <v>420</v>
      </c>
      <c r="W73" s="72">
        <v>460</v>
      </c>
      <c r="X73" s="72">
        <v>428</v>
      </c>
      <c r="Y73" s="190">
        <v>410</v>
      </c>
      <c r="Z73" s="72">
        <v>420</v>
      </c>
      <c r="AA73" s="72">
        <v>389</v>
      </c>
      <c r="AB73" s="72">
        <v>389</v>
      </c>
      <c r="AC73" s="72">
        <v>389</v>
      </c>
      <c r="AD73" s="72">
        <v>465</v>
      </c>
      <c r="AE73" s="72">
        <v>446</v>
      </c>
      <c r="AF73" s="72">
        <v>496</v>
      </c>
      <c r="AG73" s="82"/>
      <c r="AH73" s="52">
        <f t="shared" si="2"/>
        <v>496</v>
      </c>
      <c r="AI73" s="53">
        <f t="shared" si="3"/>
        <v>370</v>
      </c>
      <c r="AK73" s="54"/>
    </row>
    <row r="74" spans="1:40" x14ac:dyDescent="0.25">
      <c r="A74" s="60" t="s">
        <v>82</v>
      </c>
      <c r="B74" s="72">
        <v>57.9</v>
      </c>
      <c r="C74" s="72">
        <v>60.2</v>
      </c>
      <c r="D74" s="72">
        <v>61.6</v>
      </c>
      <c r="E74" s="83">
        <v>61.6</v>
      </c>
      <c r="F74" s="83">
        <v>58.4</v>
      </c>
      <c r="G74" s="83">
        <v>61.8</v>
      </c>
      <c r="H74" s="83">
        <v>61.9</v>
      </c>
      <c r="I74" s="83">
        <v>62</v>
      </c>
      <c r="J74" s="83">
        <v>45.4</v>
      </c>
      <c r="K74" s="83">
        <v>47</v>
      </c>
      <c r="L74" s="83">
        <v>47.4</v>
      </c>
      <c r="M74" s="83">
        <v>49.4</v>
      </c>
      <c r="N74" s="83">
        <v>49.4</v>
      </c>
      <c r="O74" s="83">
        <v>49.4</v>
      </c>
      <c r="P74" s="83">
        <v>59.4</v>
      </c>
      <c r="Q74" s="83">
        <v>59.4</v>
      </c>
      <c r="R74" s="83">
        <v>59.4</v>
      </c>
      <c r="S74" s="83">
        <v>59.4</v>
      </c>
      <c r="T74" s="83">
        <v>59.4</v>
      </c>
      <c r="U74" s="83">
        <v>64.400000000000006</v>
      </c>
      <c r="V74" s="83">
        <v>51</v>
      </c>
      <c r="W74" s="83">
        <v>40</v>
      </c>
      <c r="X74" s="83">
        <v>40</v>
      </c>
      <c r="Y74" s="193">
        <v>42</v>
      </c>
      <c r="Z74" s="83">
        <v>42</v>
      </c>
      <c r="AA74" s="83">
        <v>42</v>
      </c>
      <c r="AB74" s="83">
        <v>42</v>
      </c>
      <c r="AC74" s="83">
        <v>42</v>
      </c>
      <c r="AD74" s="83">
        <v>42</v>
      </c>
      <c r="AE74" s="83">
        <v>42</v>
      </c>
      <c r="AF74" s="83">
        <v>61.5</v>
      </c>
      <c r="AG74" s="82"/>
      <c r="AH74" s="52">
        <f t="shared" si="2"/>
        <v>64.400000000000006</v>
      </c>
      <c r="AI74" s="53">
        <f t="shared" si="3"/>
        <v>40</v>
      </c>
      <c r="AK74" s="54"/>
    </row>
    <row r="75" spans="1:40" x14ac:dyDescent="0.25">
      <c r="A75" s="60" t="s">
        <v>83</v>
      </c>
      <c r="B75" s="50">
        <v>30.4</v>
      </c>
      <c r="C75" s="50">
        <v>29.5</v>
      </c>
      <c r="D75" s="50">
        <v>29.4</v>
      </c>
      <c r="E75" s="50">
        <v>28.3</v>
      </c>
      <c r="F75" s="50">
        <v>28</v>
      </c>
      <c r="G75" s="50">
        <v>26.6</v>
      </c>
      <c r="H75" s="50">
        <v>25.1</v>
      </c>
      <c r="I75" s="50">
        <v>25.2</v>
      </c>
      <c r="J75" s="50">
        <v>57</v>
      </c>
      <c r="K75" s="50">
        <v>70</v>
      </c>
      <c r="L75" s="50">
        <v>52.6</v>
      </c>
      <c r="M75" s="50">
        <v>55</v>
      </c>
      <c r="N75" s="50">
        <v>55</v>
      </c>
      <c r="O75" s="50">
        <v>58</v>
      </c>
      <c r="P75" s="50">
        <v>75</v>
      </c>
      <c r="Q75" s="50">
        <v>75</v>
      </c>
      <c r="R75" s="50">
        <v>75</v>
      </c>
      <c r="S75" s="50">
        <v>75</v>
      </c>
      <c r="T75" s="50">
        <v>75</v>
      </c>
      <c r="U75" s="50">
        <v>32</v>
      </c>
      <c r="V75" s="50">
        <v>30</v>
      </c>
      <c r="W75" s="50">
        <v>27</v>
      </c>
      <c r="X75" s="50">
        <v>27</v>
      </c>
      <c r="Y75" s="188">
        <v>27</v>
      </c>
      <c r="Z75" s="50">
        <v>27</v>
      </c>
      <c r="AA75" s="50">
        <v>54</v>
      </c>
      <c r="AB75" s="50">
        <v>54</v>
      </c>
      <c r="AC75" s="50">
        <v>54</v>
      </c>
      <c r="AD75" s="50">
        <v>54</v>
      </c>
      <c r="AE75" s="50">
        <v>22</v>
      </c>
      <c r="AF75" s="50">
        <v>22</v>
      </c>
      <c r="AG75" s="82"/>
      <c r="AH75" s="52">
        <f t="shared" ref="AH75:AH117" si="21">MAX(B75:AF75)</f>
        <v>75</v>
      </c>
      <c r="AI75" s="53">
        <f t="shared" ref="AI75:AI117" si="22">MIN(B75:AF75)</f>
        <v>22</v>
      </c>
      <c r="AK75" s="54"/>
    </row>
    <row r="76" spans="1:40" x14ac:dyDescent="0.25">
      <c r="A76" s="60" t="s">
        <v>84</v>
      </c>
      <c r="B76" s="84">
        <v>7</v>
      </c>
      <c r="C76" s="84">
        <v>7</v>
      </c>
      <c r="D76" s="84">
        <v>7</v>
      </c>
      <c r="E76" s="84">
        <v>7</v>
      </c>
      <c r="F76" s="84">
        <v>7</v>
      </c>
      <c r="G76" s="84">
        <v>7</v>
      </c>
      <c r="H76" s="84">
        <v>7</v>
      </c>
      <c r="I76" s="84">
        <v>7</v>
      </c>
      <c r="J76" s="84">
        <v>7</v>
      </c>
      <c r="K76" s="84">
        <v>7</v>
      </c>
      <c r="L76" s="84">
        <v>7</v>
      </c>
      <c r="M76" s="84">
        <v>7</v>
      </c>
      <c r="N76" s="84">
        <v>7</v>
      </c>
      <c r="O76" s="84">
        <v>7</v>
      </c>
      <c r="P76" s="84">
        <v>7</v>
      </c>
      <c r="Q76" s="84">
        <v>7</v>
      </c>
      <c r="R76" s="84">
        <v>7</v>
      </c>
      <c r="S76" s="84">
        <v>7</v>
      </c>
      <c r="T76" s="84">
        <v>7</v>
      </c>
      <c r="U76" s="84">
        <v>7</v>
      </c>
      <c r="V76" s="84">
        <v>7</v>
      </c>
      <c r="W76" s="84">
        <v>7</v>
      </c>
      <c r="X76" s="84">
        <v>7</v>
      </c>
      <c r="Y76" s="194">
        <v>7</v>
      </c>
      <c r="Z76" s="84">
        <v>7</v>
      </c>
      <c r="AA76" s="84">
        <v>7</v>
      </c>
      <c r="AB76" s="84">
        <v>7</v>
      </c>
      <c r="AC76" s="84">
        <v>7</v>
      </c>
      <c r="AD76" s="84">
        <v>7</v>
      </c>
      <c r="AE76" s="84">
        <v>7</v>
      </c>
      <c r="AF76" s="84">
        <v>7</v>
      </c>
      <c r="AG76" s="82"/>
      <c r="AH76" s="52">
        <f t="shared" si="21"/>
        <v>7</v>
      </c>
      <c r="AI76" s="53">
        <f t="shared" si="22"/>
        <v>7</v>
      </c>
      <c r="AK76" s="54"/>
    </row>
    <row r="77" spans="1:40" ht="15.75" thickBot="1" x14ac:dyDescent="0.3">
      <c r="A77" s="60" t="s">
        <v>85</v>
      </c>
      <c r="B77" s="84">
        <v>5</v>
      </c>
      <c r="C77" s="84">
        <v>5</v>
      </c>
      <c r="D77" s="84">
        <v>5</v>
      </c>
      <c r="E77" s="84">
        <v>5</v>
      </c>
      <c r="F77" s="84">
        <v>5</v>
      </c>
      <c r="G77" s="84">
        <v>5</v>
      </c>
      <c r="H77" s="84">
        <v>5</v>
      </c>
      <c r="I77" s="84">
        <v>5</v>
      </c>
      <c r="J77" s="84">
        <v>5</v>
      </c>
      <c r="K77" s="84">
        <v>5</v>
      </c>
      <c r="L77" s="84">
        <v>5</v>
      </c>
      <c r="M77" s="84">
        <v>5</v>
      </c>
      <c r="N77" s="84">
        <v>5</v>
      </c>
      <c r="O77" s="84">
        <v>5</v>
      </c>
      <c r="P77" s="84">
        <v>5</v>
      </c>
      <c r="Q77" s="84">
        <v>5</v>
      </c>
      <c r="R77" s="84">
        <v>5</v>
      </c>
      <c r="S77" s="84">
        <v>5</v>
      </c>
      <c r="T77" s="84">
        <v>5</v>
      </c>
      <c r="U77" s="84">
        <v>5</v>
      </c>
      <c r="V77" s="84">
        <v>5</v>
      </c>
      <c r="W77" s="84">
        <v>5</v>
      </c>
      <c r="X77" s="84">
        <v>5</v>
      </c>
      <c r="Y77" s="194">
        <v>5</v>
      </c>
      <c r="Z77" s="84">
        <v>5</v>
      </c>
      <c r="AA77" s="84">
        <v>5</v>
      </c>
      <c r="AB77" s="84">
        <v>5</v>
      </c>
      <c r="AC77" s="84">
        <v>5</v>
      </c>
      <c r="AD77" s="84">
        <v>5</v>
      </c>
      <c r="AE77" s="84">
        <v>5</v>
      </c>
      <c r="AF77" s="84">
        <v>5</v>
      </c>
      <c r="AG77" s="82"/>
      <c r="AH77" s="52">
        <f t="shared" si="21"/>
        <v>5</v>
      </c>
      <c r="AI77" s="53">
        <f t="shared" si="22"/>
        <v>5</v>
      </c>
      <c r="AK77" s="54"/>
      <c r="AL77" s="85" t="s">
        <v>86</v>
      </c>
      <c r="AM77" s="85"/>
    </row>
    <row r="78" spans="1:40" x14ac:dyDescent="0.25">
      <c r="A78" s="60" t="s">
        <v>87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19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21"/>
        <v>0</v>
      </c>
      <c r="AI78" s="53">
        <f t="shared" si="22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>
        <v>5</v>
      </c>
      <c r="C79" s="84">
        <v>5</v>
      </c>
      <c r="D79" s="84">
        <v>5</v>
      </c>
      <c r="E79" s="84">
        <v>5</v>
      </c>
      <c r="F79" s="84">
        <v>5</v>
      </c>
      <c r="G79" s="84">
        <v>5</v>
      </c>
      <c r="H79" s="84">
        <v>5</v>
      </c>
      <c r="I79" s="84">
        <v>5</v>
      </c>
      <c r="J79" s="84">
        <v>5</v>
      </c>
      <c r="K79" s="84">
        <v>5</v>
      </c>
      <c r="L79" s="84">
        <v>5</v>
      </c>
      <c r="M79" s="84">
        <v>5</v>
      </c>
      <c r="N79" s="84">
        <v>5</v>
      </c>
      <c r="O79" s="84">
        <v>5</v>
      </c>
      <c r="P79" s="84">
        <v>5</v>
      </c>
      <c r="Q79" s="84">
        <v>5</v>
      </c>
      <c r="R79" s="84">
        <v>5</v>
      </c>
      <c r="S79" s="84">
        <v>5</v>
      </c>
      <c r="T79" s="84">
        <v>5</v>
      </c>
      <c r="U79" s="84">
        <v>5</v>
      </c>
      <c r="V79" s="84">
        <v>5</v>
      </c>
      <c r="W79" s="84">
        <v>5</v>
      </c>
      <c r="X79" s="84">
        <v>5</v>
      </c>
      <c r="Y79" s="194">
        <v>5</v>
      </c>
      <c r="Z79" s="84">
        <v>5</v>
      </c>
      <c r="AA79" s="84">
        <v>5</v>
      </c>
      <c r="AB79" s="84">
        <v>5</v>
      </c>
      <c r="AC79" s="84">
        <v>5</v>
      </c>
      <c r="AD79" s="84">
        <v>5</v>
      </c>
      <c r="AE79" s="84">
        <v>5</v>
      </c>
      <c r="AF79" s="84">
        <v>5</v>
      </c>
      <c r="AG79" s="82"/>
      <c r="AH79" s="52">
        <f t="shared" si="21"/>
        <v>5</v>
      </c>
      <c r="AI79" s="53">
        <f t="shared" si="22"/>
        <v>5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19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21"/>
        <v>0</v>
      </c>
      <c r="AI80" s="53">
        <f t="shared" si="22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19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21"/>
        <v>0</v>
      </c>
      <c r="AI81" s="53">
        <f t="shared" si="22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" si="23">SUMIF(B71:B81,"&gt;0")</f>
        <v>562.29999999999995</v>
      </c>
      <c r="C82" s="67">
        <f t="shared" ref="C82:AF82" si="24">SUMIF(C71:C81,"&gt;0")</f>
        <v>586.70000000000005</v>
      </c>
      <c r="D82" s="67">
        <f t="shared" si="24"/>
        <v>569.4</v>
      </c>
      <c r="E82" s="67">
        <f t="shared" si="24"/>
        <v>570.79999999999995</v>
      </c>
      <c r="F82" s="67">
        <f t="shared" si="24"/>
        <v>563.20000000000005</v>
      </c>
      <c r="G82" s="67">
        <f t="shared" si="24"/>
        <v>562.4</v>
      </c>
      <c r="H82" s="67">
        <f t="shared" si="24"/>
        <v>563</v>
      </c>
      <c r="I82" s="67">
        <f t="shared" si="24"/>
        <v>572.90000000000009</v>
      </c>
      <c r="J82" s="67">
        <f t="shared" si="24"/>
        <v>559.4</v>
      </c>
      <c r="K82" s="67">
        <f t="shared" si="24"/>
        <v>638.70000000000005</v>
      </c>
      <c r="L82" s="67">
        <f t="shared" si="24"/>
        <v>622.30000000000007</v>
      </c>
      <c r="M82" s="67">
        <f t="shared" si="24"/>
        <v>637.79999999999995</v>
      </c>
      <c r="N82" s="67">
        <f t="shared" si="24"/>
        <v>626.4</v>
      </c>
      <c r="O82" s="67">
        <f t="shared" si="24"/>
        <v>637.19999999999993</v>
      </c>
      <c r="P82" s="67">
        <f t="shared" si="24"/>
        <v>668.4</v>
      </c>
      <c r="Q82" s="67">
        <f t="shared" ref="Q82" si="25">SUMIF(Q71:Q81,"&gt;0")</f>
        <v>666.4</v>
      </c>
      <c r="R82" s="67">
        <f t="shared" si="24"/>
        <v>699.9</v>
      </c>
      <c r="S82" s="67">
        <f t="shared" si="24"/>
        <v>669.9</v>
      </c>
      <c r="T82" s="67">
        <f t="shared" si="24"/>
        <v>642.9</v>
      </c>
      <c r="U82" s="67">
        <f t="shared" si="24"/>
        <v>641.9</v>
      </c>
      <c r="V82" s="67">
        <f t="shared" si="24"/>
        <v>586.5</v>
      </c>
      <c r="W82" s="67">
        <f t="shared" si="24"/>
        <v>612.5</v>
      </c>
      <c r="X82" s="67">
        <f t="shared" si="24"/>
        <v>578</v>
      </c>
      <c r="Y82" s="67">
        <f t="shared" si="24"/>
        <v>565.5</v>
      </c>
      <c r="Z82" s="67">
        <f t="shared" si="24"/>
        <v>575.5</v>
      </c>
      <c r="AA82" s="67">
        <f t="shared" si="24"/>
        <v>571.5</v>
      </c>
      <c r="AB82" s="67">
        <f t="shared" si="24"/>
        <v>571.5</v>
      </c>
      <c r="AC82" s="67">
        <f t="shared" si="24"/>
        <v>571.5</v>
      </c>
      <c r="AD82" s="67">
        <f t="shared" si="24"/>
        <v>638</v>
      </c>
      <c r="AE82" s="67">
        <f t="shared" si="24"/>
        <v>587</v>
      </c>
      <c r="AF82" s="67">
        <f t="shared" si="24"/>
        <v>661.5</v>
      </c>
      <c r="AG82" s="95">
        <f>SUM(AG71:AG81)</f>
        <v>0</v>
      </c>
      <c r="AH82" s="52">
        <f t="shared" si="21"/>
        <v>699.9</v>
      </c>
      <c r="AI82" s="53">
        <f t="shared" si="22"/>
        <v>559.4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19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21"/>
        <v>0</v>
      </c>
      <c r="AI83" s="53">
        <f t="shared" si="22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19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21"/>
        <v>0</v>
      </c>
      <c r="AI84" s="53">
        <f t="shared" si="22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95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21"/>
        <v>0</v>
      </c>
      <c r="AI85" s="53">
        <f t="shared" si="22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21"/>
        <v>0</v>
      </c>
      <c r="AI86" s="53">
        <f t="shared" si="22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" si="26">B48+B52+B70+B66+B82+B86</f>
        <v>1358.8399999999997</v>
      </c>
      <c r="C87" s="102">
        <f t="shared" ref="C87:AG87" si="27">C48+C52+C70+C66+C82+C86</f>
        <v>1363.2399999999998</v>
      </c>
      <c r="D87" s="102">
        <f t="shared" si="27"/>
        <v>1322.7399999999998</v>
      </c>
      <c r="E87" s="102">
        <f t="shared" si="27"/>
        <v>1311.6399999999999</v>
      </c>
      <c r="F87" s="102">
        <f t="shared" si="27"/>
        <v>1310.2399999999998</v>
      </c>
      <c r="G87" s="102">
        <f t="shared" si="27"/>
        <v>1343.6399999999999</v>
      </c>
      <c r="H87" s="102">
        <f t="shared" si="27"/>
        <v>1347.84</v>
      </c>
      <c r="I87" s="102">
        <f t="shared" si="27"/>
        <v>1362.0400000000002</v>
      </c>
      <c r="J87" s="102">
        <f t="shared" si="27"/>
        <v>1253.74</v>
      </c>
      <c r="K87" s="102">
        <f t="shared" si="27"/>
        <v>1306.6399999999999</v>
      </c>
      <c r="L87" s="102">
        <f t="shared" si="27"/>
        <v>1315.74</v>
      </c>
      <c r="M87" s="102">
        <f t="shared" si="27"/>
        <v>1317.44</v>
      </c>
      <c r="N87" s="102">
        <f t="shared" si="27"/>
        <v>1306.04</v>
      </c>
      <c r="O87" s="102">
        <f t="shared" si="27"/>
        <v>1300.7399999999998</v>
      </c>
      <c r="P87" s="102">
        <f t="shared" si="27"/>
        <v>1348.34</v>
      </c>
      <c r="Q87" s="102">
        <f t="shared" ref="Q87" si="28">Q48+Q52+Q70+Q66+Q82+Q86</f>
        <v>1537.6399999999999</v>
      </c>
      <c r="R87" s="102">
        <f>R48+R52+R70+R66+R82+R86</f>
        <v>1633.54</v>
      </c>
      <c r="S87" s="102">
        <f t="shared" ref="S87:U87" si="29">S48+S52+S70+S66+S82+S86</f>
        <v>1598.94</v>
      </c>
      <c r="T87" s="102">
        <f t="shared" si="29"/>
        <v>1571.94</v>
      </c>
      <c r="U87" s="102">
        <f t="shared" si="29"/>
        <v>1585.54</v>
      </c>
      <c r="V87" s="102">
        <f t="shared" si="27"/>
        <v>1495.2399999999998</v>
      </c>
      <c r="W87" s="102">
        <f t="shared" si="27"/>
        <v>1404.54</v>
      </c>
      <c r="X87" s="102">
        <f t="shared" si="27"/>
        <v>1371.54</v>
      </c>
      <c r="Y87" s="102">
        <f t="shared" si="27"/>
        <v>1328.94</v>
      </c>
      <c r="Z87" s="102">
        <f t="shared" si="27"/>
        <v>1338.94</v>
      </c>
      <c r="AA87" s="102">
        <f t="shared" si="27"/>
        <v>1344.94</v>
      </c>
      <c r="AB87" s="102">
        <f t="shared" si="27"/>
        <v>1320.24</v>
      </c>
      <c r="AC87" s="102">
        <f t="shared" si="27"/>
        <v>1320.24</v>
      </c>
      <c r="AD87" s="102">
        <f t="shared" si="27"/>
        <v>1266.1399999999999</v>
      </c>
      <c r="AE87" s="102">
        <f t="shared" si="27"/>
        <v>1249.6399999999999</v>
      </c>
      <c r="AF87" s="102">
        <f t="shared" si="27"/>
        <v>1391.04</v>
      </c>
      <c r="AG87" s="68">
        <f t="shared" si="27"/>
        <v>2065.09</v>
      </c>
      <c r="AH87" s="52">
        <f>MAX(B87:AF87)</f>
        <v>1633.54</v>
      </c>
      <c r="AI87" s="53">
        <f>MIN(B87:AF87)</f>
        <v>1249.6399999999999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/>
      <c r="J88" s="104">
        <v>200</v>
      </c>
      <c r="K88" s="104">
        <v>200</v>
      </c>
      <c r="L88" s="104">
        <v>200</v>
      </c>
      <c r="M88" s="104">
        <v>200</v>
      </c>
      <c r="N88" s="104">
        <v>200</v>
      </c>
      <c r="O88" s="104">
        <v>200</v>
      </c>
      <c r="P88" s="104">
        <v>180</v>
      </c>
      <c r="Q88" s="104">
        <v>181</v>
      </c>
      <c r="R88" s="104">
        <v>181</v>
      </c>
      <c r="S88" s="104"/>
      <c r="T88" s="104"/>
      <c r="U88" s="104"/>
      <c r="V88" s="104"/>
      <c r="W88" s="104">
        <v>120</v>
      </c>
      <c r="X88" s="104"/>
      <c r="Y88" s="196"/>
      <c r="Z88" s="104"/>
      <c r="AA88" s="104"/>
      <c r="AB88" s="104">
        <v>120</v>
      </c>
      <c r="AC88" s="104">
        <v>120</v>
      </c>
      <c r="AD88" s="104">
        <v>120</v>
      </c>
      <c r="AE88" s="104"/>
      <c r="AF88" s="104"/>
      <c r="AG88" s="95"/>
      <c r="AH88" s="52">
        <f t="shared" si="21"/>
        <v>200</v>
      </c>
      <c r="AI88" s="53">
        <f t="shared" si="22"/>
        <v>120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" si="30">B87+B88</f>
        <v>1358.8399999999997</v>
      </c>
      <c r="C89" s="102">
        <f t="shared" ref="C89:AF89" si="31">C87+C88</f>
        <v>1363.2399999999998</v>
      </c>
      <c r="D89" s="102">
        <f t="shared" si="31"/>
        <v>1322.7399999999998</v>
      </c>
      <c r="E89" s="102">
        <f t="shared" si="31"/>
        <v>1311.6399999999999</v>
      </c>
      <c r="F89" s="102">
        <f t="shared" si="31"/>
        <v>1310.2399999999998</v>
      </c>
      <c r="G89" s="102">
        <f t="shared" si="31"/>
        <v>1343.6399999999999</v>
      </c>
      <c r="H89" s="102">
        <f t="shared" si="31"/>
        <v>1347.84</v>
      </c>
      <c r="I89" s="102">
        <f t="shared" si="31"/>
        <v>1362.0400000000002</v>
      </c>
      <c r="J89" s="102">
        <f t="shared" si="31"/>
        <v>1453.74</v>
      </c>
      <c r="K89" s="102">
        <f t="shared" si="31"/>
        <v>1506.6399999999999</v>
      </c>
      <c r="L89" s="102">
        <f t="shared" si="31"/>
        <v>1515.74</v>
      </c>
      <c r="M89" s="102">
        <f t="shared" si="31"/>
        <v>1517.44</v>
      </c>
      <c r="N89" s="102">
        <f t="shared" si="31"/>
        <v>1506.04</v>
      </c>
      <c r="O89" s="102">
        <f t="shared" si="31"/>
        <v>1500.7399999999998</v>
      </c>
      <c r="P89" s="102">
        <f t="shared" si="31"/>
        <v>1528.34</v>
      </c>
      <c r="Q89" s="102">
        <f t="shared" ref="Q89" si="32">Q87+Q88</f>
        <v>1718.6399999999999</v>
      </c>
      <c r="R89" s="102">
        <f t="shared" si="31"/>
        <v>1814.54</v>
      </c>
      <c r="S89" s="102">
        <f>S87+S88</f>
        <v>1598.94</v>
      </c>
      <c r="T89" s="102">
        <f t="shared" si="31"/>
        <v>1571.94</v>
      </c>
      <c r="U89" s="102">
        <f t="shared" si="31"/>
        <v>1585.54</v>
      </c>
      <c r="V89" s="102">
        <f t="shared" si="31"/>
        <v>1495.2399999999998</v>
      </c>
      <c r="W89" s="102">
        <f t="shared" si="31"/>
        <v>1524.54</v>
      </c>
      <c r="X89" s="102">
        <f t="shared" si="31"/>
        <v>1371.54</v>
      </c>
      <c r="Y89" s="102">
        <f t="shared" si="31"/>
        <v>1328.94</v>
      </c>
      <c r="Z89" s="102">
        <f t="shared" si="31"/>
        <v>1338.94</v>
      </c>
      <c r="AA89" s="102">
        <f t="shared" si="31"/>
        <v>1344.94</v>
      </c>
      <c r="AB89" s="102">
        <f t="shared" si="31"/>
        <v>1440.24</v>
      </c>
      <c r="AC89" s="102">
        <f t="shared" si="31"/>
        <v>1440.24</v>
      </c>
      <c r="AD89" s="102">
        <f t="shared" si="31"/>
        <v>1386.1399999999999</v>
      </c>
      <c r="AE89" s="102">
        <f t="shared" si="31"/>
        <v>1249.6399999999999</v>
      </c>
      <c r="AF89" s="102">
        <f t="shared" si="31"/>
        <v>1391.04</v>
      </c>
      <c r="AG89" s="95">
        <f>AG86+AG82+AG70+AG66+AG48+AG88</f>
        <v>1526.99</v>
      </c>
      <c r="AH89" s="52">
        <f t="shared" si="21"/>
        <v>1814.54</v>
      </c>
      <c r="AI89" s="53">
        <f t="shared" si="22"/>
        <v>1249.6399999999999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" si="33">B89-B97</f>
        <v>1358.8399999999997</v>
      </c>
      <c r="C90" s="102">
        <f t="shared" ref="C90:AF90" si="34">C89-C97</f>
        <v>1363.2399999999998</v>
      </c>
      <c r="D90" s="102">
        <f t="shared" si="34"/>
        <v>1322.7399999999998</v>
      </c>
      <c r="E90" s="102">
        <f t="shared" si="34"/>
        <v>1311.6399999999999</v>
      </c>
      <c r="F90" s="102">
        <f t="shared" si="34"/>
        <v>1310.2399999999998</v>
      </c>
      <c r="G90" s="102">
        <f t="shared" si="34"/>
        <v>1343.6399999999999</v>
      </c>
      <c r="H90" s="102">
        <f t="shared" si="34"/>
        <v>1347.84</v>
      </c>
      <c r="I90" s="102">
        <f t="shared" si="34"/>
        <v>1362.0400000000002</v>
      </c>
      <c r="J90" s="102">
        <f t="shared" si="34"/>
        <v>1453.74</v>
      </c>
      <c r="K90" s="102">
        <f t="shared" si="34"/>
        <v>1506.6399999999999</v>
      </c>
      <c r="L90" s="102">
        <f t="shared" si="34"/>
        <v>1515.74</v>
      </c>
      <c r="M90" s="102">
        <f t="shared" si="34"/>
        <v>1517.44</v>
      </c>
      <c r="N90" s="102">
        <f t="shared" si="34"/>
        <v>1506.04</v>
      </c>
      <c r="O90" s="102">
        <f t="shared" si="34"/>
        <v>1500.7399999999998</v>
      </c>
      <c r="P90" s="102">
        <f t="shared" si="34"/>
        <v>1528.34</v>
      </c>
      <c r="Q90" s="102">
        <f t="shared" ref="Q90" si="35">Q89-Q97</f>
        <v>1718.6399999999999</v>
      </c>
      <c r="R90" s="102">
        <f t="shared" si="34"/>
        <v>1814.54</v>
      </c>
      <c r="S90" s="102">
        <f t="shared" si="34"/>
        <v>1598.94</v>
      </c>
      <c r="T90" s="102">
        <f t="shared" si="34"/>
        <v>1571.94</v>
      </c>
      <c r="U90" s="102">
        <f t="shared" si="34"/>
        <v>1585.54</v>
      </c>
      <c r="V90" s="102">
        <f t="shared" si="34"/>
        <v>1495.2399999999998</v>
      </c>
      <c r="W90" s="102">
        <f t="shared" si="34"/>
        <v>1524.54</v>
      </c>
      <c r="X90" s="102">
        <f t="shared" si="34"/>
        <v>1371.54</v>
      </c>
      <c r="Y90" s="102">
        <f t="shared" si="34"/>
        <v>1328.94</v>
      </c>
      <c r="Z90" s="102">
        <f t="shared" si="34"/>
        <v>1338.94</v>
      </c>
      <c r="AA90" s="102">
        <f t="shared" si="34"/>
        <v>1344.94</v>
      </c>
      <c r="AB90" s="102">
        <f t="shared" si="34"/>
        <v>1440.24</v>
      </c>
      <c r="AC90" s="102">
        <f t="shared" si="34"/>
        <v>1440.24</v>
      </c>
      <c r="AD90" s="102">
        <f t="shared" si="34"/>
        <v>1386.1399999999999</v>
      </c>
      <c r="AE90" s="102">
        <f t="shared" si="34"/>
        <v>1249.6399999999999</v>
      </c>
      <c r="AF90" s="102">
        <f t="shared" si="34"/>
        <v>1391.04</v>
      </c>
      <c r="AG90" s="95"/>
      <c r="AH90" s="52">
        <f t="shared" si="21"/>
        <v>1814.54</v>
      </c>
      <c r="AI90" s="53">
        <f t="shared" si="22"/>
        <v>1249.6399999999999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19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21"/>
        <v>0</v>
      </c>
      <c r="AI91" s="53">
        <f t="shared" si="22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19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21"/>
        <v>0</v>
      </c>
      <c r="AI92" s="53">
        <f t="shared" si="22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19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21"/>
        <v>0</v>
      </c>
      <c r="AI93" s="53">
        <f t="shared" si="22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19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21"/>
        <v>0</v>
      </c>
      <c r="AI94" s="53">
        <f t="shared" si="22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19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21"/>
        <v>0</v>
      </c>
      <c r="AI95" s="53">
        <f t="shared" si="22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95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21"/>
        <v>0</v>
      </c>
      <c r="AI96" s="53">
        <f t="shared" si="22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21"/>
        <v>0</v>
      </c>
      <c r="AI97" s="53">
        <f t="shared" si="22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" si="36">B82-B97</f>
        <v>562.29999999999995</v>
      </c>
      <c r="C98" s="67">
        <f t="shared" ref="C98:AF98" si="37">C82-C97</f>
        <v>586.70000000000005</v>
      </c>
      <c r="D98" s="67">
        <f t="shared" si="37"/>
        <v>569.4</v>
      </c>
      <c r="E98" s="67">
        <f t="shared" si="37"/>
        <v>570.79999999999995</v>
      </c>
      <c r="F98" s="67">
        <f t="shared" si="37"/>
        <v>563.20000000000005</v>
      </c>
      <c r="G98" s="67">
        <f t="shared" si="37"/>
        <v>562.4</v>
      </c>
      <c r="H98" s="67">
        <f t="shared" si="37"/>
        <v>563</v>
      </c>
      <c r="I98" s="67">
        <f t="shared" si="37"/>
        <v>572.90000000000009</v>
      </c>
      <c r="J98" s="67">
        <f t="shared" si="37"/>
        <v>559.4</v>
      </c>
      <c r="K98" s="67">
        <f t="shared" si="37"/>
        <v>638.70000000000005</v>
      </c>
      <c r="L98" s="67">
        <f t="shared" si="37"/>
        <v>622.30000000000007</v>
      </c>
      <c r="M98" s="67">
        <f t="shared" si="37"/>
        <v>637.79999999999995</v>
      </c>
      <c r="N98" s="67">
        <f t="shared" si="37"/>
        <v>626.4</v>
      </c>
      <c r="O98" s="67">
        <f t="shared" si="37"/>
        <v>637.19999999999993</v>
      </c>
      <c r="P98" s="67">
        <f t="shared" si="37"/>
        <v>668.4</v>
      </c>
      <c r="Q98" s="67">
        <f t="shared" ref="Q98" si="38">Q82-Q97</f>
        <v>666.4</v>
      </c>
      <c r="R98" s="67">
        <f t="shared" si="37"/>
        <v>699.9</v>
      </c>
      <c r="S98" s="67">
        <f t="shared" si="37"/>
        <v>669.9</v>
      </c>
      <c r="T98" s="67">
        <f t="shared" si="37"/>
        <v>642.9</v>
      </c>
      <c r="U98" s="67">
        <f t="shared" si="37"/>
        <v>641.9</v>
      </c>
      <c r="V98" s="67">
        <f t="shared" si="37"/>
        <v>586.5</v>
      </c>
      <c r="W98" s="67">
        <f t="shared" si="37"/>
        <v>612.5</v>
      </c>
      <c r="X98" s="67">
        <f t="shared" si="37"/>
        <v>578</v>
      </c>
      <c r="Y98" s="67">
        <f t="shared" si="37"/>
        <v>565.5</v>
      </c>
      <c r="Z98" s="67">
        <f t="shared" si="37"/>
        <v>575.5</v>
      </c>
      <c r="AA98" s="67">
        <f t="shared" si="37"/>
        <v>571.5</v>
      </c>
      <c r="AB98" s="67">
        <f t="shared" si="37"/>
        <v>571.5</v>
      </c>
      <c r="AC98" s="67">
        <f t="shared" si="37"/>
        <v>571.5</v>
      </c>
      <c r="AD98" s="67">
        <f t="shared" si="37"/>
        <v>638</v>
      </c>
      <c r="AE98" s="67">
        <f t="shared" si="37"/>
        <v>587</v>
      </c>
      <c r="AF98" s="67">
        <f t="shared" si="37"/>
        <v>661.5</v>
      </c>
      <c r="AG98" s="95"/>
      <c r="AH98" s="52">
        <f t="shared" si="21"/>
        <v>699.9</v>
      </c>
      <c r="AI98" s="53">
        <f t="shared" si="22"/>
        <v>559.4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49.902000000000001</v>
      </c>
      <c r="C99" s="108">
        <v>50.095999999999997</v>
      </c>
      <c r="D99" s="108">
        <v>50.000999999999998</v>
      </c>
      <c r="E99" s="108">
        <v>49.957000000000001</v>
      </c>
      <c r="F99" s="108">
        <v>50</v>
      </c>
      <c r="G99" s="108">
        <v>50</v>
      </c>
      <c r="H99" s="108">
        <v>49.954000000000001</v>
      </c>
      <c r="I99" s="108">
        <v>49.9</v>
      </c>
      <c r="J99" s="108">
        <v>50</v>
      </c>
      <c r="K99" s="108">
        <v>50.052</v>
      </c>
      <c r="L99" s="108">
        <v>50</v>
      </c>
      <c r="M99" s="108">
        <v>49.93</v>
      </c>
      <c r="N99" s="108">
        <v>50.02</v>
      </c>
      <c r="O99" s="108">
        <v>50.01</v>
      </c>
      <c r="P99" s="108">
        <v>50.161999999999999</v>
      </c>
      <c r="Q99" s="108">
        <v>49.93</v>
      </c>
      <c r="R99" s="108">
        <v>49.93</v>
      </c>
      <c r="S99" s="108">
        <v>49.93</v>
      </c>
      <c r="T99" s="108">
        <v>49.93</v>
      </c>
      <c r="U99" s="108">
        <v>50.021000000000001</v>
      </c>
      <c r="V99" s="108">
        <v>49.89</v>
      </c>
      <c r="W99" s="108">
        <v>49.994999999999997</v>
      </c>
      <c r="X99" s="108">
        <v>50.005000000000003</v>
      </c>
      <c r="Y99" s="197"/>
      <c r="Z99" s="108"/>
      <c r="AA99" s="108">
        <v>49.9</v>
      </c>
      <c r="AB99" s="108">
        <v>49.942999999999998</v>
      </c>
      <c r="AC99" s="108">
        <v>49.942999999999998</v>
      </c>
      <c r="AD99" s="108">
        <v>50.012999999999998</v>
      </c>
      <c r="AE99" s="108">
        <v>49.954999999999998</v>
      </c>
      <c r="AF99" s="108">
        <v>49.945</v>
      </c>
      <c r="AG99" s="109"/>
      <c r="AH99" s="52">
        <f t="shared" si="21"/>
        <v>50.161999999999999</v>
      </c>
      <c r="AI99" s="53">
        <f t="shared" si="22"/>
        <v>49.89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127.4</v>
      </c>
      <c r="C100" s="72">
        <v>127.4</v>
      </c>
      <c r="D100" s="72">
        <v>126.1</v>
      </c>
      <c r="E100" s="72">
        <v>127.3</v>
      </c>
      <c r="F100" s="72">
        <v>127.3</v>
      </c>
      <c r="G100" s="72">
        <v>127.3</v>
      </c>
      <c r="H100" s="72">
        <v>126</v>
      </c>
      <c r="I100" s="72">
        <v>126</v>
      </c>
      <c r="J100" s="72">
        <v>126</v>
      </c>
      <c r="K100" s="72">
        <v>126</v>
      </c>
      <c r="L100" s="72">
        <v>126</v>
      </c>
      <c r="M100" s="72">
        <v>126.2</v>
      </c>
      <c r="N100" s="72">
        <v>126.2</v>
      </c>
      <c r="O100" s="72">
        <v>126.2</v>
      </c>
      <c r="P100" s="72">
        <v>126.1</v>
      </c>
      <c r="Q100" s="72">
        <v>123.3</v>
      </c>
      <c r="R100" s="72">
        <v>122.9</v>
      </c>
      <c r="S100" s="72">
        <v>122.9</v>
      </c>
      <c r="T100" s="72">
        <v>122.9</v>
      </c>
      <c r="U100" s="72">
        <v>124.8</v>
      </c>
      <c r="V100" s="72">
        <v>125.8</v>
      </c>
      <c r="W100" s="72">
        <v>125.9</v>
      </c>
      <c r="X100" s="72">
        <v>128.69999999999999</v>
      </c>
      <c r="Y100" s="190"/>
      <c r="Z100" s="72"/>
      <c r="AA100" s="72">
        <v>128.69999999999999</v>
      </c>
      <c r="AB100" s="72">
        <v>128.5</v>
      </c>
      <c r="AC100" s="72">
        <v>128.5</v>
      </c>
      <c r="AD100" s="72">
        <v>127.3</v>
      </c>
      <c r="AE100" s="72">
        <v>126.3</v>
      </c>
      <c r="AF100" s="72">
        <v>123.6</v>
      </c>
      <c r="AG100" s="111"/>
      <c r="AH100" s="52">
        <f t="shared" si="21"/>
        <v>128.69999999999999</v>
      </c>
      <c r="AI100" s="53">
        <f t="shared" si="22"/>
        <v>122.9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131.30000000000001</v>
      </c>
      <c r="C101" s="72">
        <v>131.30000000000001</v>
      </c>
      <c r="D101" s="72">
        <v>130.9</v>
      </c>
      <c r="E101" s="72">
        <v>131.1</v>
      </c>
      <c r="F101" s="72">
        <v>131.1</v>
      </c>
      <c r="G101" s="72">
        <v>131.1</v>
      </c>
      <c r="H101" s="72">
        <v>129.96</v>
      </c>
      <c r="I101" s="72">
        <v>129.96</v>
      </c>
      <c r="J101" s="72">
        <v>129.96</v>
      </c>
      <c r="K101" s="72">
        <v>129.96</v>
      </c>
      <c r="L101" s="72">
        <v>129.96</v>
      </c>
      <c r="M101" s="72">
        <v>128.1</v>
      </c>
      <c r="N101" s="72">
        <v>128.1</v>
      </c>
      <c r="O101" s="72">
        <v>128.1</v>
      </c>
      <c r="P101" s="72">
        <v>128.69999999999999</v>
      </c>
      <c r="Q101" s="72">
        <v>127.3</v>
      </c>
      <c r="R101" s="72">
        <v>127</v>
      </c>
      <c r="S101" s="72">
        <v>127</v>
      </c>
      <c r="T101" s="72">
        <v>127</v>
      </c>
      <c r="U101" s="72">
        <v>128.6</v>
      </c>
      <c r="V101" s="72">
        <v>128.6</v>
      </c>
      <c r="W101" s="72">
        <v>128.4</v>
      </c>
      <c r="X101" s="72">
        <v>131.80000000000001</v>
      </c>
      <c r="Y101" s="190"/>
      <c r="Z101" s="72"/>
      <c r="AA101" s="72">
        <v>130.80000000000001</v>
      </c>
      <c r="AB101" s="72">
        <v>130.9</v>
      </c>
      <c r="AC101" s="72">
        <v>130.9</v>
      </c>
      <c r="AD101" s="72">
        <v>130.69999999999999</v>
      </c>
      <c r="AE101" s="72">
        <v>130.1</v>
      </c>
      <c r="AF101" s="72">
        <v>128.6</v>
      </c>
      <c r="AG101" s="111"/>
      <c r="AH101" s="52">
        <f t="shared" si="21"/>
        <v>131.80000000000001</v>
      </c>
      <c r="AI101" s="53">
        <f t="shared" si="22"/>
        <v>127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129.30000000000001</v>
      </c>
      <c r="C102" s="72">
        <v>129.30000000000001</v>
      </c>
      <c r="D102" s="72">
        <v>132.19999999999999</v>
      </c>
      <c r="E102" s="72">
        <v>131</v>
      </c>
      <c r="F102" s="72">
        <v>131</v>
      </c>
      <c r="G102" s="72">
        <v>131</v>
      </c>
      <c r="H102" s="72">
        <v>131.5</v>
      </c>
      <c r="I102" s="72">
        <v>131.5</v>
      </c>
      <c r="J102" s="72">
        <v>131.5</v>
      </c>
      <c r="K102" s="72">
        <v>131.5</v>
      </c>
      <c r="L102" s="72">
        <v>131.5</v>
      </c>
      <c r="M102" s="72">
        <v>121.7</v>
      </c>
      <c r="N102" s="72">
        <v>121.7</v>
      </c>
      <c r="O102" s="72">
        <v>121.7</v>
      </c>
      <c r="P102" s="72">
        <v>120.8</v>
      </c>
      <c r="Q102" s="72">
        <v>120.8</v>
      </c>
      <c r="R102" s="72">
        <v>123.7</v>
      </c>
      <c r="S102" s="72">
        <v>123.7</v>
      </c>
      <c r="T102" s="72">
        <v>123.7</v>
      </c>
      <c r="U102" s="72">
        <v>125.4</v>
      </c>
      <c r="V102" s="72">
        <v>125.4</v>
      </c>
      <c r="W102" s="72">
        <v>129</v>
      </c>
      <c r="X102" s="72">
        <v>129.30000000000001</v>
      </c>
      <c r="Y102" s="190"/>
      <c r="Z102" s="72"/>
      <c r="AA102" s="72">
        <v>127.7</v>
      </c>
      <c r="AB102" s="72">
        <v>127.2</v>
      </c>
      <c r="AC102" s="72">
        <v>127.2</v>
      </c>
      <c r="AD102" s="72">
        <v>127.1</v>
      </c>
      <c r="AE102" s="72">
        <v>126.1</v>
      </c>
      <c r="AF102" s="72">
        <v>127</v>
      </c>
      <c r="AG102" s="111"/>
      <c r="AH102" s="52">
        <f t="shared" si="21"/>
        <v>132.19999999999999</v>
      </c>
      <c r="AI102" s="53">
        <f t="shared" si="22"/>
        <v>120.8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190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21"/>
        <v>0</v>
      </c>
      <c r="AI103" s="53">
        <f t="shared" si="22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127.6</v>
      </c>
      <c r="C104" s="113">
        <v>127.6</v>
      </c>
      <c r="D104" s="113">
        <v>128.80000000000001</v>
      </c>
      <c r="E104" s="113">
        <v>128.6</v>
      </c>
      <c r="F104" s="113">
        <v>128.6</v>
      </c>
      <c r="G104" s="113">
        <v>128.6</v>
      </c>
      <c r="H104" s="113">
        <v>131</v>
      </c>
      <c r="I104" s="113">
        <v>131</v>
      </c>
      <c r="J104" s="113">
        <v>131</v>
      </c>
      <c r="K104" s="113">
        <v>131</v>
      </c>
      <c r="L104" s="113">
        <v>131</v>
      </c>
      <c r="M104" s="113">
        <v>130.69999999999999</v>
      </c>
      <c r="N104" s="113">
        <v>130.69999999999999</v>
      </c>
      <c r="O104" s="113">
        <v>130.69999999999999</v>
      </c>
      <c r="P104" s="113">
        <v>135</v>
      </c>
      <c r="Q104" s="113">
        <v>131.6</v>
      </c>
      <c r="R104" s="113">
        <v>130.69999999999999</v>
      </c>
      <c r="S104" s="113">
        <v>130.69999999999999</v>
      </c>
      <c r="T104" s="113">
        <v>130.69999999999999</v>
      </c>
      <c r="U104" s="113">
        <v>133.69999999999999</v>
      </c>
      <c r="V104" s="113">
        <v>133.69999999999999</v>
      </c>
      <c r="W104" s="113">
        <v>128.19999999999999</v>
      </c>
      <c r="X104" s="113">
        <v>132.30000000000001</v>
      </c>
      <c r="Y104" s="198"/>
      <c r="Z104" s="113"/>
      <c r="AA104" s="113">
        <v>134.69999999999999</v>
      </c>
      <c r="AB104" s="113">
        <v>134.19999999999999</v>
      </c>
      <c r="AC104" s="113">
        <v>134.19999999999999</v>
      </c>
      <c r="AD104" s="113">
        <v>131.5</v>
      </c>
      <c r="AE104" s="113">
        <v>128.80000000000001</v>
      </c>
      <c r="AF104" s="113">
        <v>127.5</v>
      </c>
      <c r="AG104" s="114"/>
      <c r="AH104" s="52">
        <f t="shared" si="21"/>
        <v>135</v>
      </c>
      <c r="AI104" s="53">
        <f t="shared" si="22"/>
        <v>127.5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132.9</v>
      </c>
      <c r="C105" s="72">
        <v>132.9</v>
      </c>
      <c r="D105" s="72"/>
      <c r="E105" s="72">
        <v>130</v>
      </c>
      <c r="F105" s="72">
        <v>130</v>
      </c>
      <c r="G105" s="72">
        <v>130</v>
      </c>
      <c r="H105" s="72">
        <v>132</v>
      </c>
      <c r="I105" s="72">
        <v>132</v>
      </c>
      <c r="J105" s="72">
        <v>132</v>
      </c>
      <c r="K105" s="72">
        <v>132</v>
      </c>
      <c r="L105" s="72">
        <v>132</v>
      </c>
      <c r="M105" s="72">
        <v>125.6</v>
      </c>
      <c r="N105" s="72">
        <v>125.6</v>
      </c>
      <c r="O105" s="72">
        <v>125.6</v>
      </c>
      <c r="P105" s="72">
        <v>127.8</v>
      </c>
      <c r="Q105" s="72">
        <v>127.5</v>
      </c>
      <c r="R105" s="72">
        <v>125.1</v>
      </c>
      <c r="S105" s="72">
        <v>125.1</v>
      </c>
      <c r="T105" s="72">
        <v>125.1</v>
      </c>
      <c r="U105" s="72"/>
      <c r="V105" s="72"/>
      <c r="W105" s="72"/>
      <c r="X105" s="72">
        <v>127.3</v>
      </c>
      <c r="Y105" s="190"/>
      <c r="Z105" s="72"/>
      <c r="AA105" s="72">
        <v>132.19999999999999</v>
      </c>
      <c r="AB105" s="72">
        <v>130.19999999999999</v>
      </c>
      <c r="AC105" s="72">
        <v>130.19999999999999</v>
      </c>
      <c r="AD105" s="72">
        <v>131.4</v>
      </c>
      <c r="AE105" s="72">
        <v>128</v>
      </c>
      <c r="AF105" s="72">
        <v>127.4</v>
      </c>
      <c r="AG105" s="111"/>
      <c r="AH105" s="52">
        <f t="shared" si="21"/>
        <v>132.9</v>
      </c>
      <c r="AI105" s="53">
        <f t="shared" si="22"/>
        <v>125.1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65.8</v>
      </c>
      <c r="C106" s="99">
        <v>65.8</v>
      </c>
      <c r="D106" s="99">
        <v>65.599999999999994</v>
      </c>
      <c r="E106" s="99">
        <v>66</v>
      </c>
      <c r="F106" s="99">
        <v>66</v>
      </c>
      <c r="G106" s="99">
        <v>66</v>
      </c>
      <c r="H106" s="99">
        <v>65.3</v>
      </c>
      <c r="I106" s="99">
        <v>65.3</v>
      </c>
      <c r="J106" s="99">
        <v>65.3</v>
      </c>
      <c r="K106" s="99">
        <v>65.3</v>
      </c>
      <c r="L106" s="99">
        <v>65.3</v>
      </c>
      <c r="M106" s="99">
        <v>64.3</v>
      </c>
      <c r="N106" s="99">
        <v>64.3</v>
      </c>
      <c r="O106" s="99">
        <v>64.3</v>
      </c>
      <c r="P106" s="99">
        <v>64.5</v>
      </c>
      <c r="Q106" s="99">
        <v>64.400000000000006</v>
      </c>
      <c r="R106" s="99">
        <v>64.3</v>
      </c>
      <c r="S106" s="99">
        <v>64.3</v>
      </c>
      <c r="T106" s="99">
        <v>64.3</v>
      </c>
      <c r="U106" s="99">
        <v>64.8</v>
      </c>
      <c r="V106" s="99">
        <v>64.8</v>
      </c>
      <c r="W106" s="99">
        <v>64.5</v>
      </c>
      <c r="X106" s="99">
        <v>65.900000000000006</v>
      </c>
      <c r="Y106" s="199"/>
      <c r="Z106" s="99"/>
      <c r="AA106" s="99">
        <v>65.3</v>
      </c>
      <c r="AB106" s="99">
        <v>65.5</v>
      </c>
      <c r="AC106" s="99">
        <v>65.5</v>
      </c>
      <c r="AD106" s="99">
        <v>65.400000000000006</v>
      </c>
      <c r="AE106" s="99">
        <v>65.3</v>
      </c>
      <c r="AF106" s="99">
        <v>64.8</v>
      </c>
      <c r="AG106" s="115"/>
      <c r="AH106" s="52">
        <f t="shared" si="21"/>
        <v>66</v>
      </c>
      <c r="AI106" s="53">
        <f t="shared" si="22"/>
        <v>64.3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1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21"/>
        <v>0</v>
      </c>
      <c r="AI107" s="53">
        <f t="shared" si="22"/>
        <v>0</v>
      </c>
    </row>
    <row r="108" spans="1:88" ht="15.75" thickBot="1" x14ac:dyDescent="0.3">
      <c r="A108" s="117" t="s">
        <v>116</v>
      </c>
      <c r="B108" s="118">
        <f t="shared" ref="B108" si="39">SUM(B18,B24,B27:B28,B56,B58:B59,B61,B63,B109:B113,B135,B141,B147,B156,B158,B170,B177,B180:B181,B188,B190,B192,B196:B198,B200:B202,B207,B213:B214,B216:B218,B226,B231)</f>
        <v>130.60000000000002</v>
      </c>
      <c r="C108" s="118">
        <f t="shared" ref="C108:AF108" si="40">SUM(C18,C24,C27:C28,C56,C58:C59,C61,C63,C109:C113,C135,C141,C147,C156,C158,C170,C177,C180:C181,C188,C190,C192,C196:C198,C200:C202,C207,C213:C214,C216:C218,C226,C231)</f>
        <v>130.94</v>
      </c>
      <c r="D108" s="118">
        <f t="shared" si="40"/>
        <v>114.44000000000001</v>
      </c>
      <c r="E108" s="118">
        <f t="shared" si="40"/>
        <v>115.24000000000001</v>
      </c>
      <c r="F108" s="118">
        <f t="shared" si="40"/>
        <v>122.64000000000001</v>
      </c>
      <c r="G108" s="118">
        <f t="shared" si="40"/>
        <v>154.64000000000001</v>
      </c>
      <c r="H108" s="118">
        <f t="shared" si="40"/>
        <v>182.74</v>
      </c>
      <c r="I108" s="118">
        <f t="shared" si="40"/>
        <v>216.04000000000002</v>
      </c>
      <c r="J108" s="118">
        <f t="shared" si="40"/>
        <v>231.74</v>
      </c>
      <c r="K108" s="118">
        <f t="shared" si="40"/>
        <v>277.44</v>
      </c>
      <c r="L108" s="118">
        <f t="shared" si="40"/>
        <v>293.33999999999997</v>
      </c>
      <c r="M108" s="118">
        <f t="shared" si="40"/>
        <v>242.44</v>
      </c>
      <c r="N108" s="118">
        <f t="shared" ref="N108:O108" si="41">SUM(N18,N24,N27:N28,N56,N58:N59,N61,N63,N109:N113,N135,N141,N147,N156,N158,N170,N177,N180:N181,N188,N190,N192,N196:N198,N200:N202,N207,N213:N214,N216:N218,N226,N231)</f>
        <v>242.44</v>
      </c>
      <c r="O108" s="118">
        <f t="shared" si="41"/>
        <v>242.44</v>
      </c>
      <c r="P108" s="118">
        <v>42</v>
      </c>
      <c r="Q108" s="118">
        <v>42</v>
      </c>
      <c r="R108" s="118">
        <f t="shared" si="40"/>
        <v>174.39999999999998</v>
      </c>
      <c r="S108" s="118">
        <f t="shared" si="40"/>
        <v>174.39999999999998</v>
      </c>
      <c r="T108" s="118">
        <f t="shared" si="40"/>
        <v>174.39999999999998</v>
      </c>
      <c r="U108" s="118">
        <f t="shared" si="40"/>
        <v>270.7</v>
      </c>
      <c r="V108" s="118">
        <f t="shared" si="40"/>
        <v>266.7</v>
      </c>
      <c r="W108" s="118">
        <f t="shared" si="40"/>
        <v>282.89999999999998</v>
      </c>
      <c r="X108" s="118">
        <f t="shared" si="40"/>
        <v>284.60000000000002</v>
      </c>
      <c r="Y108" s="118">
        <f t="shared" si="40"/>
        <v>84.1</v>
      </c>
      <c r="Z108" s="118">
        <f t="shared" si="40"/>
        <v>84.1</v>
      </c>
      <c r="AA108" s="118">
        <f t="shared" si="40"/>
        <v>284.2</v>
      </c>
      <c r="AB108" s="118">
        <f t="shared" si="40"/>
        <v>259.39999999999998</v>
      </c>
      <c r="AC108" s="118">
        <f t="shared" si="40"/>
        <v>259.39999999999998</v>
      </c>
      <c r="AD108" s="118">
        <f t="shared" si="40"/>
        <v>175.1</v>
      </c>
      <c r="AE108" s="118">
        <f t="shared" si="40"/>
        <v>153.69999999999999</v>
      </c>
      <c r="AF108" s="118">
        <f t="shared" si="40"/>
        <v>112.19999999999999</v>
      </c>
      <c r="AG108" s="119"/>
      <c r="AH108" s="52">
        <f t="shared" si="21"/>
        <v>293.33999999999997</v>
      </c>
      <c r="AI108" s="53">
        <f t="shared" si="22"/>
        <v>42</v>
      </c>
    </row>
    <row r="109" spans="1:88" x14ac:dyDescent="0.25">
      <c r="A109" s="107" t="s">
        <v>117</v>
      </c>
      <c r="B109" s="120">
        <v>-23.9</v>
      </c>
      <c r="C109" s="120">
        <v>-24.7</v>
      </c>
      <c r="D109" s="120">
        <v>-29.9</v>
      </c>
      <c r="E109" s="120">
        <v>-28.5</v>
      </c>
      <c r="F109" s="120">
        <v>-26.6</v>
      </c>
      <c r="G109" s="120">
        <v>-18</v>
      </c>
      <c r="H109" s="120">
        <v>-16.5</v>
      </c>
      <c r="I109" s="120">
        <v>-10.3</v>
      </c>
      <c r="J109" s="120">
        <v>-8</v>
      </c>
      <c r="K109" s="120">
        <v>-7</v>
      </c>
      <c r="L109" s="120">
        <v>-5.0999999999999996</v>
      </c>
      <c r="M109" s="120">
        <v>-10.8</v>
      </c>
      <c r="N109" s="120">
        <v>-10.8</v>
      </c>
      <c r="O109" s="120">
        <v>-10.8</v>
      </c>
      <c r="P109" s="120">
        <v>-1</v>
      </c>
      <c r="Q109" s="120">
        <v>-5.8</v>
      </c>
      <c r="R109" s="120">
        <v>-8.6</v>
      </c>
      <c r="S109" s="120">
        <v>-8.6</v>
      </c>
      <c r="T109" s="120">
        <v>-8.6</v>
      </c>
      <c r="U109" s="120">
        <v>6</v>
      </c>
      <c r="V109" s="120">
        <v>6</v>
      </c>
      <c r="W109" s="120">
        <v>6.9</v>
      </c>
      <c r="X109" s="120">
        <v>-2.6</v>
      </c>
      <c r="Y109" s="200"/>
      <c r="Z109" s="120"/>
      <c r="AA109" s="120">
        <v>23.9</v>
      </c>
      <c r="AB109" s="120">
        <v>22.9</v>
      </c>
      <c r="AC109" s="120">
        <v>22.9</v>
      </c>
      <c r="AD109" s="120">
        <v>-3.3</v>
      </c>
      <c r="AE109" s="120">
        <v>-11.9</v>
      </c>
      <c r="AF109" s="120">
        <v>-20.9</v>
      </c>
      <c r="AG109" s="121">
        <v>75</v>
      </c>
      <c r="AH109" s="52">
        <f t="shared" si="21"/>
        <v>23.9</v>
      </c>
      <c r="AI109" s="53">
        <f t="shared" si="22"/>
        <v>-29.9</v>
      </c>
    </row>
    <row r="110" spans="1:88" x14ac:dyDescent="0.25">
      <c r="A110" s="110" t="s">
        <v>118</v>
      </c>
      <c r="B110" s="122">
        <v>-31</v>
      </c>
      <c r="C110" s="122">
        <v>-30.8</v>
      </c>
      <c r="D110" s="122">
        <v>-38</v>
      </c>
      <c r="E110" s="122">
        <v>-34.6</v>
      </c>
      <c r="F110" s="122">
        <v>-34.9</v>
      </c>
      <c r="G110" s="122">
        <v>-20.7</v>
      </c>
      <c r="H110" s="122">
        <v>-20.2</v>
      </c>
      <c r="I110" s="122">
        <v>-11.7</v>
      </c>
      <c r="J110" s="122">
        <v>-10.5</v>
      </c>
      <c r="K110" s="122">
        <v>-12.6</v>
      </c>
      <c r="L110" s="122">
        <v>-10.199999999999999</v>
      </c>
      <c r="M110" s="122">
        <v>-18.2</v>
      </c>
      <c r="N110" s="122">
        <v>-18.2</v>
      </c>
      <c r="O110" s="122">
        <v>-18.2</v>
      </c>
      <c r="P110" s="122">
        <v>-2</v>
      </c>
      <c r="Q110" s="122">
        <v>-11.1</v>
      </c>
      <c r="R110" s="122">
        <v>-16.7</v>
      </c>
      <c r="S110" s="122">
        <v>-16.7</v>
      </c>
      <c r="T110" s="122">
        <v>-16.7</v>
      </c>
      <c r="U110" s="122">
        <v>10.8</v>
      </c>
      <c r="V110" s="122">
        <v>10.8</v>
      </c>
      <c r="W110" s="122">
        <v>-13.2</v>
      </c>
      <c r="X110" s="122">
        <v>-8.3000000000000007</v>
      </c>
      <c r="Y110" s="201"/>
      <c r="Z110" s="122"/>
      <c r="AA110" s="122">
        <v>31.2</v>
      </c>
      <c r="AB110" s="122">
        <v>26.5</v>
      </c>
      <c r="AC110" s="122">
        <v>26.5</v>
      </c>
      <c r="AD110" s="122">
        <v>-7.9</v>
      </c>
      <c r="AE110" s="122">
        <v>-19.5</v>
      </c>
      <c r="AF110" s="122">
        <v>-27.3</v>
      </c>
      <c r="AG110" s="121">
        <v>240</v>
      </c>
      <c r="AH110" s="52">
        <f t="shared" si="21"/>
        <v>31.2</v>
      </c>
      <c r="AI110" s="53">
        <f t="shared" si="22"/>
        <v>-38</v>
      </c>
    </row>
    <row r="111" spans="1:88" x14ac:dyDescent="0.25">
      <c r="A111" s="110" t="s">
        <v>119</v>
      </c>
      <c r="B111" s="122">
        <v>-32.200000000000003</v>
      </c>
      <c r="C111" s="122">
        <v>-32.200000000000003</v>
      </c>
      <c r="D111" s="122">
        <v>-34.200000000000003</v>
      </c>
      <c r="E111" s="122">
        <v>-32.1</v>
      </c>
      <c r="F111" s="122">
        <v>-26.6</v>
      </c>
      <c r="G111" s="122">
        <v>-24.8</v>
      </c>
      <c r="H111" s="122">
        <v>-10.199999999999999</v>
      </c>
      <c r="I111" s="122">
        <v>3.8</v>
      </c>
      <c r="J111" s="122">
        <v>20</v>
      </c>
      <c r="K111" s="122">
        <v>54</v>
      </c>
      <c r="L111" s="122">
        <v>57.4</v>
      </c>
      <c r="M111" s="122">
        <f>-5+24.8</f>
        <v>19.8</v>
      </c>
      <c r="N111" s="122">
        <f t="shared" ref="N111:O111" si="42">-5+24.8</f>
        <v>19.8</v>
      </c>
      <c r="O111" s="122">
        <f t="shared" si="42"/>
        <v>19.8</v>
      </c>
      <c r="P111" s="122">
        <f>13.3+6.3</f>
        <v>19.600000000000001</v>
      </c>
      <c r="Q111" s="122">
        <f>-34.9-7.6</f>
        <v>-42.5</v>
      </c>
      <c r="R111" s="122">
        <f>-36.9-9.8</f>
        <v>-46.7</v>
      </c>
      <c r="S111" s="122">
        <f t="shared" ref="S111:T111" si="43">-36.9-9.8</f>
        <v>-46.7</v>
      </c>
      <c r="T111" s="122">
        <f t="shared" si="43"/>
        <v>-46.7</v>
      </c>
      <c r="U111" s="122">
        <v>0</v>
      </c>
      <c r="V111" s="122">
        <v>0</v>
      </c>
      <c r="W111" s="122">
        <v>42</v>
      </c>
      <c r="X111" s="122">
        <v>54</v>
      </c>
      <c r="Y111" s="201"/>
      <c r="Z111" s="122"/>
      <c r="AA111" s="122">
        <v>25</v>
      </c>
      <c r="AB111" s="122">
        <f>17+13</f>
        <v>30</v>
      </c>
      <c r="AC111" s="122">
        <f t="shared" ref="AC111" si="44">17+13</f>
        <v>30</v>
      </c>
      <c r="AD111" s="122">
        <v>6</v>
      </c>
      <c r="AE111" s="122">
        <v>0</v>
      </c>
      <c r="AF111" s="122">
        <v>-28</v>
      </c>
      <c r="AG111" s="121">
        <v>240</v>
      </c>
      <c r="AH111" s="52">
        <f t="shared" si="21"/>
        <v>57.4</v>
      </c>
      <c r="AI111" s="53">
        <f t="shared" si="22"/>
        <v>-46.7</v>
      </c>
    </row>
    <row r="112" spans="1:88" x14ac:dyDescent="0.25">
      <c r="A112" s="110" t="s">
        <v>120</v>
      </c>
      <c r="B112" s="122">
        <v>32.200000000000003</v>
      </c>
      <c r="C112" s="122">
        <v>32.200000000000003</v>
      </c>
      <c r="D112" s="122">
        <v>32.1</v>
      </c>
      <c r="E112" s="122">
        <v>31.4</v>
      </c>
      <c r="F112" s="122">
        <v>28.6</v>
      </c>
      <c r="G112" s="122">
        <v>32.700000000000003</v>
      </c>
      <c r="H112" s="122">
        <v>36.700000000000003</v>
      </c>
      <c r="I112" s="122">
        <v>37.6</v>
      </c>
      <c r="J112" s="122">
        <v>42</v>
      </c>
      <c r="K112" s="122">
        <v>50.6</v>
      </c>
      <c r="L112" s="122">
        <v>51</v>
      </c>
      <c r="M112" s="122">
        <v>53.6</v>
      </c>
      <c r="N112" s="122">
        <v>53.6</v>
      </c>
      <c r="O112" s="122">
        <v>53.6</v>
      </c>
      <c r="P112" s="122">
        <v>46.2</v>
      </c>
      <c r="Q112" s="122">
        <v>42</v>
      </c>
      <c r="R112" s="122">
        <v>40.5</v>
      </c>
      <c r="S112" s="122">
        <v>40.5</v>
      </c>
      <c r="T112" s="122">
        <v>40.5</v>
      </c>
      <c r="U112" s="122">
        <v>41.3</v>
      </c>
      <c r="V112" s="122">
        <v>41.3</v>
      </c>
      <c r="W112" s="122">
        <v>41.5</v>
      </c>
      <c r="X112" s="122">
        <v>43</v>
      </c>
      <c r="Y112" s="201"/>
      <c r="Z112" s="122"/>
      <c r="AA112" s="122">
        <v>46</v>
      </c>
      <c r="AB112" s="122">
        <v>36.700000000000003</v>
      </c>
      <c r="AC112" s="122">
        <v>36.700000000000003</v>
      </c>
      <c r="AD112" s="122">
        <v>27.2</v>
      </c>
      <c r="AE112" s="122">
        <v>27.7</v>
      </c>
      <c r="AF112" s="122">
        <v>31.8</v>
      </c>
      <c r="AG112" s="121">
        <v>60</v>
      </c>
      <c r="AH112" s="52">
        <f t="shared" si="21"/>
        <v>53.6</v>
      </c>
      <c r="AI112" s="53">
        <f t="shared" si="22"/>
        <v>27.2</v>
      </c>
    </row>
    <row r="113" spans="1:37" x14ac:dyDescent="0.25">
      <c r="A113" s="123" t="s">
        <v>121</v>
      </c>
      <c r="B113" s="124">
        <v>100.7</v>
      </c>
      <c r="C113" s="124">
        <v>100.7</v>
      </c>
      <c r="D113" s="124">
        <v>98.7</v>
      </c>
      <c r="E113" s="124">
        <v>93.3</v>
      </c>
      <c r="F113" s="124">
        <v>96.4</v>
      </c>
      <c r="G113" s="124">
        <v>99.7</v>
      </c>
      <c r="H113" s="124">
        <v>103.4</v>
      </c>
      <c r="I113" s="124">
        <v>106.4</v>
      </c>
      <c r="J113" s="124">
        <v>102</v>
      </c>
      <c r="K113" s="124">
        <v>106.2</v>
      </c>
      <c r="L113" s="124">
        <v>114</v>
      </c>
      <c r="M113" s="124">
        <v>111.8</v>
      </c>
      <c r="N113" s="124">
        <v>111.8</v>
      </c>
      <c r="O113" s="124">
        <v>111.8</v>
      </c>
      <c r="P113" s="124">
        <v>95</v>
      </c>
      <c r="Q113" s="124">
        <v>104.8</v>
      </c>
      <c r="R113" s="124">
        <v>105.9</v>
      </c>
      <c r="S113" s="124">
        <v>105.9</v>
      </c>
      <c r="T113" s="124">
        <v>105.9</v>
      </c>
      <c r="U113" s="124">
        <v>116.3</v>
      </c>
      <c r="V113" s="124">
        <v>116.3</v>
      </c>
      <c r="W113" s="124">
        <v>121</v>
      </c>
      <c r="X113" s="124">
        <v>114</v>
      </c>
      <c r="Y113" s="202"/>
      <c r="Z113" s="124"/>
      <c r="AA113" s="124">
        <v>101</v>
      </c>
      <c r="AB113" s="124">
        <v>86.2</v>
      </c>
      <c r="AC113" s="124">
        <v>86.2</v>
      </c>
      <c r="AD113" s="124">
        <v>96</v>
      </c>
      <c r="AE113" s="124">
        <v>100.3</v>
      </c>
      <c r="AF113" s="124">
        <v>99.5</v>
      </c>
      <c r="AG113" s="125">
        <v>120</v>
      </c>
      <c r="AH113" s="52">
        <f t="shared" si="21"/>
        <v>121</v>
      </c>
      <c r="AI113" s="53">
        <f t="shared" si="22"/>
        <v>86.2</v>
      </c>
    </row>
    <row r="114" spans="1:37" x14ac:dyDescent="0.25">
      <c r="A114" s="123" t="s">
        <v>122</v>
      </c>
      <c r="B114" s="124">
        <v>108.9</v>
      </c>
      <c r="C114" s="124">
        <v>108.9</v>
      </c>
      <c r="D114" s="124">
        <v>109</v>
      </c>
      <c r="E114" s="124">
        <v>105.1</v>
      </c>
      <c r="F114" s="124">
        <v>101</v>
      </c>
      <c r="G114" s="124">
        <v>108.9</v>
      </c>
      <c r="H114" s="124">
        <v>103.5</v>
      </c>
      <c r="I114" s="124">
        <v>101.8</v>
      </c>
      <c r="J114" s="124">
        <v>95</v>
      </c>
      <c r="K114" s="124">
        <v>74.400000000000006</v>
      </c>
      <c r="L114" s="124">
        <v>78.400000000000006</v>
      </c>
      <c r="M114" s="124">
        <v>76.900000000000006</v>
      </c>
      <c r="N114" s="124">
        <v>76.900000000000006</v>
      </c>
      <c r="O114" s="124">
        <v>76.900000000000006</v>
      </c>
      <c r="P114" s="124">
        <v>81.2</v>
      </c>
      <c r="Q114" s="124">
        <v>107</v>
      </c>
      <c r="R114" s="124">
        <v>108.7</v>
      </c>
      <c r="S114" s="124">
        <v>108.7</v>
      </c>
      <c r="T114" s="124">
        <v>108.7</v>
      </c>
      <c r="U114" s="124">
        <v>114</v>
      </c>
      <c r="V114" s="124">
        <v>114</v>
      </c>
      <c r="W114" s="124">
        <v>96</v>
      </c>
      <c r="X114" s="124">
        <v>93</v>
      </c>
      <c r="Y114" s="202"/>
      <c r="Z114" s="124"/>
      <c r="AA114" s="124">
        <v>45</v>
      </c>
      <c r="AB114" s="124">
        <v>54.3</v>
      </c>
      <c r="AC114" s="124">
        <v>54.3</v>
      </c>
      <c r="AD114" s="124">
        <v>82.1</v>
      </c>
      <c r="AE114" s="124">
        <v>89</v>
      </c>
      <c r="AF114" s="124">
        <v>109.8</v>
      </c>
      <c r="AG114" s="125"/>
      <c r="AH114" s="52">
        <f t="shared" si="21"/>
        <v>114</v>
      </c>
      <c r="AI114" s="53">
        <f t="shared" si="22"/>
        <v>45</v>
      </c>
    </row>
    <row r="115" spans="1:37" x14ac:dyDescent="0.25">
      <c r="A115" s="123" t="s">
        <v>123</v>
      </c>
      <c r="B115" s="124"/>
      <c r="C115" s="124"/>
      <c r="D115" s="124"/>
      <c r="E115" s="124">
        <v>58</v>
      </c>
      <c r="F115" s="124">
        <v>59.4</v>
      </c>
      <c r="G115" s="124">
        <v>54.5</v>
      </c>
      <c r="H115" s="124">
        <v>55.5</v>
      </c>
      <c r="I115" s="124">
        <v>47.7</v>
      </c>
      <c r="J115" s="124">
        <v>42</v>
      </c>
      <c r="K115" s="124">
        <v>37.200000000000003</v>
      </c>
      <c r="L115" s="124">
        <v>38.5</v>
      </c>
      <c r="M115" s="124">
        <v>36.6</v>
      </c>
      <c r="N115" s="124">
        <v>36.6</v>
      </c>
      <c r="O115" s="124">
        <v>36.6</v>
      </c>
      <c r="P115" s="124"/>
      <c r="Q115" s="124"/>
      <c r="R115" s="124"/>
      <c r="S115" s="124"/>
      <c r="T115" s="124"/>
      <c r="U115" s="124"/>
      <c r="V115" s="124"/>
      <c r="W115" s="124"/>
      <c r="X115" s="124">
        <v>34</v>
      </c>
      <c r="Y115" s="202"/>
      <c r="Z115" s="124"/>
      <c r="AA115" s="124"/>
      <c r="AB115" s="124"/>
      <c r="AC115" s="124"/>
      <c r="AD115" s="124"/>
      <c r="AE115" s="124"/>
      <c r="AF115" s="124"/>
      <c r="AG115" s="126"/>
      <c r="AH115" s="52">
        <f t="shared" si="21"/>
        <v>59.4</v>
      </c>
      <c r="AI115" s="53">
        <f t="shared" si="22"/>
        <v>34</v>
      </c>
    </row>
    <row r="116" spans="1:37" x14ac:dyDescent="0.25">
      <c r="A116" s="127" t="s">
        <v>124</v>
      </c>
      <c r="B116" s="113">
        <v>-14</v>
      </c>
      <c r="C116" s="113">
        <v>-14</v>
      </c>
      <c r="D116" s="113">
        <v>-17.3</v>
      </c>
      <c r="E116" s="113">
        <v>-15.2</v>
      </c>
      <c r="F116" s="113">
        <v>-13.6</v>
      </c>
      <c r="G116" s="113">
        <v>-12.4</v>
      </c>
      <c r="H116" s="113">
        <v>-22.4</v>
      </c>
      <c r="I116" s="113">
        <v>-25</v>
      </c>
      <c r="J116" s="113">
        <v>-30</v>
      </c>
      <c r="K116" s="113">
        <v>-34.799999999999997</v>
      </c>
      <c r="L116" s="113">
        <v>-30.4</v>
      </c>
      <c r="M116" s="113">
        <v>-30.2</v>
      </c>
      <c r="N116" s="113">
        <v>-30.2</v>
      </c>
      <c r="O116" s="113">
        <v>-30.2</v>
      </c>
      <c r="P116" s="113">
        <v>-38</v>
      </c>
      <c r="Q116" s="113">
        <v>-28.4</v>
      </c>
      <c r="R116" s="113">
        <v>-32.700000000000003</v>
      </c>
      <c r="S116" s="113">
        <v>-32.700000000000003</v>
      </c>
      <c r="T116" s="113">
        <v>-32.700000000000003</v>
      </c>
      <c r="U116" s="113">
        <v>-35.200000000000003</v>
      </c>
      <c r="V116" s="113">
        <v>-35.200000000000003</v>
      </c>
      <c r="W116" s="113">
        <v>-34</v>
      </c>
      <c r="X116" s="113">
        <v>-43</v>
      </c>
      <c r="Y116" s="198"/>
      <c r="Z116" s="113"/>
      <c r="AA116" s="113">
        <v>-39</v>
      </c>
      <c r="AB116" s="113">
        <v>-37</v>
      </c>
      <c r="AC116" s="113">
        <v>-37</v>
      </c>
      <c r="AD116" s="113">
        <v>-19.8</v>
      </c>
      <c r="AE116" s="113">
        <v>-18.899999999999999</v>
      </c>
      <c r="AF116" s="113">
        <v>-10.4</v>
      </c>
      <c r="AG116" s="126"/>
      <c r="AH116" s="52">
        <f t="shared" si="21"/>
        <v>-10.4</v>
      </c>
      <c r="AI116" s="53">
        <f t="shared" si="22"/>
        <v>-43</v>
      </c>
    </row>
    <row r="117" spans="1:37" ht="15.75" thickBot="1" x14ac:dyDescent="0.3">
      <c r="A117" s="127" t="s">
        <v>125</v>
      </c>
      <c r="B117" s="113">
        <v>102.6</v>
      </c>
      <c r="C117" s="113">
        <v>102.6</v>
      </c>
      <c r="D117" s="113">
        <v>91.2</v>
      </c>
      <c r="E117" s="113">
        <v>91.1</v>
      </c>
      <c r="F117" s="113">
        <v>86.6</v>
      </c>
      <c r="G117" s="113">
        <v>80.900000000000006</v>
      </c>
      <c r="H117" s="113">
        <v>84.1</v>
      </c>
      <c r="I117" s="113">
        <v>90</v>
      </c>
      <c r="J117" s="113">
        <v>98</v>
      </c>
      <c r="K117" s="113">
        <v>97.2</v>
      </c>
      <c r="L117" s="113">
        <v>94</v>
      </c>
      <c r="M117" s="113">
        <v>107.9</v>
      </c>
      <c r="N117" s="113">
        <v>107.9</v>
      </c>
      <c r="O117" s="113">
        <v>107.9</v>
      </c>
      <c r="P117" s="113">
        <v>118</v>
      </c>
      <c r="Q117" s="113">
        <v>106</v>
      </c>
      <c r="R117" s="113">
        <v>111.6</v>
      </c>
      <c r="S117" s="113">
        <v>111.6</v>
      </c>
      <c r="T117" s="113">
        <v>111.6</v>
      </c>
      <c r="U117" s="113">
        <v>106</v>
      </c>
      <c r="V117" s="113">
        <v>106</v>
      </c>
      <c r="W117" s="113">
        <v>95</v>
      </c>
      <c r="X117" s="113">
        <v>91</v>
      </c>
      <c r="Y117" s="198"/>
      <c r="Z117" s="113"/>
      <c r="AA117" s="113">
        <v>108</v>
      </c>
      <c r="AB117" s="113">
        <v>108</v>
      </c>
      <c r="AC117" s="113">
        <v>108</v>
      </c>
      <c r="AD117" s="113">
        <v>110</v>
      </c>
      <c r="AE117" s="113">
        <v>113</v>
      </c>
      <c r="AF117" s="113">
        <v>112</v>
      </c>
      <c r="AG117" s="126"/>
      <c r="AH117" s="52">
        <f t="shared" si="21"/>
        <v>118</v>
      </c>
      <c r="AI117" s="53">
        <f t="shared" si="22"/>
        <v>80.900000000000006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203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204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204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204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204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204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204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204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204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204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204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204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204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204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204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204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204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205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205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205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205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205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205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205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205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205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205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205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205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205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205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205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205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205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205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205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205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205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205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205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205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205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205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205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205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205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205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205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205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205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205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205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205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205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205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205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205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205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205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205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205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205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205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205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205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205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205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205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205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205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205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205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205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205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205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205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205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205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205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205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205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205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205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205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205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205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205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205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205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205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205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205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205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205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205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205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205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205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205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205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205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205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205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205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205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206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45">SUM(B119:B223)</f>
        <v>0</v>
      </c>
      <c r="C224" s="144">
        <f t="shared" si="45"/>
        <v>0</v>
      </c>
      <c r="D224" s="144">
        <f t="shared" si="45"/>
        <v>0</v>
      </c>
      <c r="E224" s="144">
        <f t="shared" si="45"/>
        <v>0</v>
      </c>
      <c r="F224" s="144">
        <f t="shared" si="45"/>
        <v>0</v>
      </c>
      <c r="G224" s="144">
        <f t="shared" si="45"/>
        <v>0</v>
      </c>
      <c r="H224" s="144">
        <f t="shared" si="45"/>
        <v>0</v>
      </c>
      <c r="I224" s="144">
        <f t="shared" si="45"/>
        <v>0</v>
      </c>
      <c r="J224" s="144">
        <f t="shared" si="45"/>
        <v>0</v>
      </c>
      <c r="K224" s="144">
        <f t="shared" si="45"/>
        <v>0</v>
      </c>
      <c r="L224" s="144">
        <f t="shared" si="45"/>
        <v>0</v>
      </c>
      <c r="M224" s="144">
        <f t="shared" si="45"/>
        <v>0</v>
      </c>
      <c r="N224" s="144">
        <f t="shared" si="45"/>
        <v>0</v>
      </c>
      <c r="O224" s="144">
        <f t="shared" si="45"/>
        <v>0</v>
      </c>
      <c r="P224" s="144">
        <f t="shared" si="45"/>
        <v>0</v>
      </c>
      <c r="Q224" s="144">
        <f t="shared" si="45"/>
        <v>0</v>
      </c>
      <c r="R224" s="144">
        <f t="shared" si="45"/>
        <v>0</v>
      </c>
      <c r="S224" s="144">
        <f t="shared" si="45"/>
        <v>0</v>
      </c>
      <c r="T224" s="144">
        <f t="shared" si="45"/>
        <v>0</v>
      </c>
      <c r="U224" s="144">
        <f t="shared" si="45"/>
        <v>0</v>
      </c>
      <c r="V224" s="144">
        <f t="shared" si="45"/>
        <v>0</v>
      </c>
      <c r="W224" s="144">
        <f t="shared" si="45"/>
        <v>0</v>
      </c>
      <c r="X224" s="144">
        <f t="shared" si="45"/>
        <v>0</v>
      </c>
      <c r="Y224" s="207">
        <f t="shared" si="45"/>
        <v>0</v>
      </c>
      <c r="Z224" s="144">
        <f t="shared" si="45"/>
        <v>0</v>
      </c>
      <c r="AA224" s="144">
        <f t="shared" si="45"/>
        <v>0</v>
      </c>
      <c r="AB224" s="144">
        <f t="shared" si="45"/>
        <v>0</v>
      </c>
      <c r="AC224" s="144">
        <f t="shared" si="45"/>
        <v>0</v>
      </c>
      <c r="AD224" s="144">
        <f t="shared" si="45"/>
        <v>0</v>
      </c>
      <c r="AE224" s="144">
        <f t="shared" si="45"/>
        <v>0</v>
      </c>
      <c r="AF224" s="145">
        <f t="shared" si="45"/>
        <v>0</v>
      </c>
      <c r="AG224" s="146">
        <f t="shared" si="45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208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46">AF226</f>
        <v>0</v>
      </c>
      <c r="C226" s="149">
        <v>0.3</v>
      </c>
      <c r="D226" s="149">
        <f t="shared" ref="D226:P231" si="47">C226</f>
        <v>0.3</v>
      </c>
      <c r="E226" s="149">
        <f t="shared" si="47"/>
        <v>0.3</v>
      </c>
      <c r="F226" s="149">
        <f t="shared" si="47"/>
        <v>0.3</v>
      </c>
      <c r="G226" s="149">
        <f t="shared" si="47"/>
        <v>0.3</v>
      </c>
      <c r="H226" s="149">
        <f t="shared" si="47"/>
        <v>0.3</v>
      </c>
      <c r="I226" s="149">
        <f t="shared" si="47"/>
        <v>0.3</v>
      </c>
      <c r="J226" s="149">
        <f t="shared" si="47"/>
        <v>0.3</v>
      </c>
      <c r="K226" s="149">
        <f t="shared" si="47"/>
        <v>0.3</v>
      </c>
      <c r="L226" s="149">
        <f t="shared" si="47"/>
        <v>0.3</v>
      </c>
      <c r="M226" s="149">
        <f t="shared" si="47"/>
        <v>0.3</v>
      </c>
      <c r="N226" s="149">
        <f t="shared" si="47"/>
        <v>0.3</v>
      </c>
      <c r="O226" s="149">
        <f t="shared" si="47"/>
        <v>0.3</v>
      </c>
      <c r="P226" s="149">
        <f t="shared" si="47"/>
        <v>0.3</v>
      </c>
      <c r="Q226" s="149"/>
      <c r="R226" s="149"/>
      <c r="S226" s="149"/>
      <c r="T226" s="149"/>
      <c r="U226" s="149"/>
      <c r="V226" s="149"/>
      <c r="W226" s="149"/>
      <c r="X226" s="149"/>
      <c r="Y226" s="20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46"/>
        <v>0</v>
      </c>
      <c r="C227" s="136">
        <v>0.4</v>
      </c>
      <c r="D227" s="136">
        <f t="shared" si="47"/>
        <v>0.4</v>
      </c>
      <c r="E227" s="136">
        <f t="shared" si="47"/>
        <v>0.4</v>
      </c>
      <c r="F227" s="136">
        <f t="shared" si="47"/>
        <v>0.4</v>
      </c>
      <c r="G227" s="136">
        <f t="shared" si="47"/>
        <v>0.4</v>
      </c>
      <c r="H227" s="136">
        <f t="shared" si="47"/>
        <v>0.4</v>
      </c>
      <c r="I227" s="136">
        <f t="shared" si="47"/>
        <v>0.4</v>
      </c>
      <c r="J227" s="136">
        <f t="shared" si="47"/>
        <v>0.4</v>
      </c>
      <c r="K227" s="136">
        <f t="shared" si="47"/>
        <v>0.4</v>
      </c>
      <c r="L227" s="136">
        <f t="shared" si="47"/>
        <v>0.4</v>
      </c>
      <c r="M227" s="136">
        <f t="shared" si="47"/>
        <v>0.4</v>
      </c>
      <c r="N227" s="136">
        <f t="shared" si="47"/>
        <v>0.4</v>
      </c>
      <c r="O227" s="136">
        <f t="shared" si="47"/>
        <v>0.4</v>
      </c>
      <c r="P227" s="136">
        <f t="shared" si="47"/>
        <v>0.4</v>
      </c>
      <c r="Q227" s="136"/>
      <c r="R227" s="136"/>
      <c r="S227" s="136"/>
      <c r="T227" s="136"/>
      <c r="U227" s="136"/>
      <c r="V227" s="136"/>
      <c r="W227" s="136"/>
      <c r="X227" s="136"/>
      <c r="Y227" s="205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46"/>
        <v>0</v>
      </c>
      <c r="C228" s="136">
        <v>1.5</v>
      </c>
      <c r="D228" s="136">
        <f t="shared" si="47"/>
        <v>1.5</v>
      </c>
      <c r="E228" s="136">
        <f t="shared" si="47"/>
        <v>1.5</v>
      </c>
      <c r="F228" s="136">
        <f t="shared" si="47"/>
        <v>1.5</v>
      </c>
      <c r="G228" s="136">
        <f t="shared" si="47"/>
        <v>1.5</v>
      </c>
      <c r="H228" s="136">
        <f t="shared" si="47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47"/>
        <v>1.5</v>
      </c>
      <c r="K228" s="136">
        <f t="shared" ca="1" si="47"/>
        <v>1.5</v>
      </c>
      <c r="L228" s="136">
        <f t="shared" ca="1" si="47"/>
        <v>1.5</v>
      </c>
      <c r="M228" s="136">
        <f t="shared" ca="1" si="47"/>
        <v>1.5</v>
      </c>
      <c r="N228" s="136">
        <f t="shared" ca="1" si="47"/>
        <v>1.5</v>
      </c>
      <c r="O228" s="136">
        <f t="shared" ca="1" si="47"/>
        <v>1.5</v>
      </c>
      <c r="P228" s="136">
        <f t="shared" ca="1" si="47"/>
        <v>1.5</v>
      </c>
      <c r="Q228" s="136"/>
      <c r="R228" s="136"/>
      <c r="S228" s="136"/>
      <c r="T228" s="136"/>
      <c r="U228" s="136"/>
      <c r="V228" s="136"/>
      <c r="W228" s="136"/>
      <c r="X228" s="136"/>
      <c r="Y228" s="205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46"/>
        <v>0</v>
      </c>
      <c r="C229" s="136">
        <v>0.3</v>
      </c>
      <c r="D229" s="136">
        <f t="shared" si="47"/>
        <v>0.3</v>
      </c>
      <c r="E229" s="136">
        <f t="shared" si="47"/>
        <v>0.3</v>
      </c>
      <c r="F229" s="136">
        <f t="shared" si="47"/>
        <v>0.3</v>
      </c>
      <c r="G229" s="136">
        <f t="shared" si="47"/>
        <v>0.3</v>
      </c>
      <c r="H229" s="136">
        <f t="shared" si="47"/>
        <v>0.3</v>
      </c>
      <c r="I229" s="136">
        <f t="shared" si="47"/>
        <v>0.3</v>
      </c>
      <c r="J229" s="136">
        <f t="shared" si="47"/>
        <v>0.3</v>
      </c>
      <c r="K229" s="136">
        <f t="shared" si="47"/>
        <v>0.3</v>
      </c>
      <c r="L229" s="136">
        <f t="shared" si="47"/>
        <v>0.3</v>
      </c>
      <c r="M229" s="136">
        <f t="shared" si="47"/>
        <v>0.3</v>
      </c>
      <c r="N229" s="136">
        <f t="shared" si="47"/>
        <v>0.3</v>
      </c>
      <c r="O229" s="136">
        <f t="shared" si="47"/>
        <v>0.3</v>
      </c>
      <c r="P229" s="136">
        <f t="shared" si="47"/>
        <v>0.3</v>
      </c>
      <c r="Q229" s="136"/>
      <c r="R229" s="136"/>
      <c r="S229" s="136"/>
      <c r="T229" s="136"/>
      <c r="U229" s="136"/>
      <c r="V229" s="136"/>
      <c r="W229" s="136"/>
      <c r="X229" s="136"/>
      <c r="Y229" s="205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46"/>
        <v>0</v>
      </c>
      <c r="C230" s="136">
        <v>0.4</v>
      </c>
      <c r="D230" s="136">
        <f t="shared" si="47"/>
        <v>0.4</v>
      </c>
      <c r="E230" s="136">
        <f t="shared" si="47"/>
        <v>0.4</v>
      </c>
      <c r="F230" s="136">
        <f t="shared" si="47"/>
        <v>0.4</v>
      </c>
      <c r="G230" s="136">
        <f t="shared" si="47"/>
        <v>0.4</v>
      </c>
      <c r="H230" s="136">
        <f t="shared" si="47"/>
        <v>0.4</v>
      </c>
      <c r="I230" s="136">
        <f t="shared" si="47"/>
        <v>0.4</v>
      </c>
      <c r="J230" s="136">
        <f t="shared" si="47"/>
        <v>0.4</v>
      </c>
      <c r="K230" s="136">
        <f t="shared" si="47"/>
        <v>0.4</v>
      </c>
      <c r="L230" s="136">
        <f t="shared" si="47"/>
        <v>0.4</v>
      </c>
      <c r="M230" s="136">
        <f t="shared" si="47"/>
        <v>0.4</v>
      </c>
      <c r="N230" s="136">
        <f t="shared" si="47"/>
        <v>0.4</v>
      </c>
      <c r="O230" s="136">
        <f t="shared" si="47"/>
        <v>0.4</v>
      </c>
      <c r="P230" s="136">
        <f t="shared" si="47"/>
        <v>0.4</v>
      </c>
      <c r="Q230" s="136"/>
      <c r="R230" s="136"/>
      <c r="S230" s="136"/>
      <c r="T230" s="136"/>
      <c r="U230" s="136"/>
      <c r="V230" s="136"/>
      <c r="W230" s="136"/>
      <c r="X230" s="136"/>
      <c r="Y230" s="205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46"/>
        <v>0</v>
      </c>
      <c r="C231" s="140">
        <v>0.64</v>
      </c>
      <c r="D231" s="140">
        <f t="shared" si="47"/>
        <v>0.64</v>
      </c>
      <c r="E231" s="140">
        <f t="shared" si="47"/>
        <v>0.64</v>
      </c>
      <c r="F231" s="140">
        <f t="shared" si="47"/>
        <v>0.64</v>
      </c>
      <c r="G231" s="140">
        <f t="shared" si="47"/>
        <v>0.64</v>
      </c>
      <c r="H231" s="140">
        <f t="shared" si="47"/>
        <v>0.64</v>
      </c>
      <c r="I231" s="140">
        <f t="shared" si="47"/>
        <v>0.64</v>
      </c>
      <c r="J231" s="140">
        <f t="shared" si="47"/>
        <v>0.64</v>
      </c>
      <c r="K231" s="140">
        <f t="shared" si="47"/>
        <v>0.64</v>
      </c>
      <c r="L231" s="140">
        <f t="shared" si="47"/>
        <v>0.64</v>
      </c>
      <c r="M231" s="140">
        <f t="shared" si="47"/>
        <v>0.64</v>
      </c>
      <c r="N231" s="140">
        <f t="shared" si="47"/>
        <v>0.64</v>
      </c>
      <c r="O231" s="140">
        <f t="shared" si="47"/>
        <v>0.64</v>
      </c>
      <c r="P231" s="140">
        <f t="shared" si="47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206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48">SUM(B226:B231)</f>
        <v>0</v>
      </c>
      <c r="C232" s="144">
        <f t="shared" si="48"/>
        <v>3.54</v>
      </c>
      <c r="D232" s="144">
        <f t="shared" si="48"/>
        <v>3.54</v>
      </c>
      <c r="E232" s="144">
        <f t="shared" si="48"/>
        <v>3.54</v>
      </c>
      <c r="F232" s="144">
        <f t="shared" si="48"/>
        <v>3.54</v>
      </c>
      <c r="G232" s="144">
        <f t="shared" si="48"/>
        <v>3.54</v>
      </c>
      <c r="H232" s="144">
        <f t="shared" si="48"/>
        <v>3.54</v>
      </c>
      <c r="I232" s="144">
        <f t="shared" ca="1" si="48"/>
        <v>3.54</v>
      </c>
      <c r="J232" s="144">
        <f t="shared" ca="1" si="48"/>
        <v>3.54</v>
      </c>
      <c r="K232" s="144">
        <f t="shared" ca="1" si="48"/>
        <v>3.54</v>
      </c>
      <c r="L232" s="144">
        <f t="shared" ca="1" si="48"/>
        <v>3.54</v>
      </c>
      <c r="M232" s="144">
        <f t="shared" ca="1" si="48"/>
        <v>3.54</v>
      </c>
      <c r="N232" s="144">
        <f t="shared" ca="1" si="48"/>
        <v>3.54</v>
      </c>
      <c r="O232" s="144">
        <f t="shared" ca="1" si="48"/>
        <v>3.54</v>
      </c>
      <c r="P232" s="144">
        <f t="shared" ca="1" si="48"/>
        <v>3.54</v>
      </c>
      <c r="Q232" s="144">
        <f t="shared" si="48"/>
        <v>0</v>
      </c>
      <c r="R232" s="144">
        <f t="shared" si="48"/>
        <v>0</v>
      </c>
      <c r="S232" s="144">
        <f t="shared" si="48"/>
        <v>0</v>
      </c>
      <c r="T232" s="144">
        <f t="shared" si="48"/>
        <v>0</v>
      </c>
      <c r="U232" s="144">
        <f t="shared" si="48"/>
        <v>0</v>
      </c>
      <c r="V232" s="144">
        <f t="shared" si="48"/>
        <v>0</v>
      </c>
      <c r="W232" s="144">
        <f t="shared" si="48"/>
        <v>0</v>
      </c>
      <c r="X232" s="144">
        <f t="shared" si="48"/>
        <v>0</v>
      </c>
      <c r="Y232" s="207">
        <f t="shared" si="48"/>
        <v>0</v>
      </c>
      <c r="Z232" s="144">
        <f t="shared" si="48"/>
        <v>0</v>
      </c>
      <c r="AA232" s="144">
        <f t="shared" si="48"/>
        <v>0</v>
      </c>
      <c r="AB232" s="144">
        <f t="shared" si="48"/>
        <v>0</v>
      </c>
      <c r="AC232" s="144">
        <f t="shared" si="48"/>
        <v>0</v>
      </c>
      <c r="AD232" s="144">
        <f t="shared" si="48"/>
        <v>0</v>
      </c>
      <c r="AE232" s="144">
        <f t="shared" si="48"/>
        <v>0</v>
      </c>
      <c r="AF232" s="144">
        <f t="shared" si="48"/>
        <v>0</v>
      </c>
      <c r="AG232" s="154">
        <f t="shared" si="48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210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211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212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21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21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214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210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210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1517.44</v>
      </c>
      <c r="C241" s="170">
        <f>INDEX(G9:N9,1,MATCH(MAX(G89:N89),G89:N89,0))</f>
        <v>0.33333333333333331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210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15</v>
      </c>
      <c r="T242" s="48"/>
      <c r="U242" s="48"/>
      <c r="V242" s="48"/>
      <c r="W242" s="48"/>
      <c r="X242" s="48"/>
      <c r="Y242" s="210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2079/12/15)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2079/12/15)</v>
      </c>
      <c r="T243" s="48"/>
      <c r="U243" s="48"/>
      <c r="V243" s="48"/>
      <c r="W243" s="48"/>
      <c r="X243" s="48"/>
      <c r="Y243" s="210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210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215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49">B89</f>
        <v>1358.8399999999997</v>
      </c>
      <c r="U246" s="180">
        <f t="shared" si="49"/>
        <v>1363.2399999999998</v>
      </c>
      <c r="V246" s="180">
        <f t="shared" si="49"/>
        <v>1322.7399999999998</v>
      </c>
      <c r="W246" s="180">
        <f t="shared" si="49"/>
        <v>1311.6399999999999</v>
      </c>
      <c r="X246" s="180">
        <f t="shared" si="49"/>
        <v>1310.2399999999998</v>
      </c>
      <c r="Y246" s="216">
        <f t="shared" si="49"/>
        <v>1343.6399999999999</v>
      </c>
      <c r="Z246" s="180">
        <f t="shared" si="49"/>
        <v>1347.84</v>
      </c>
      <c r="AA246" s="180">
        <f t="shared" si="49"/>
        <v>1362.0400000000002</v>
      </c>
      <c r="AB246" s="180">
        <f t="shared" si="49"/>
        <v>1453.74</v>
      </c>
      <c r="AC246" s="180">
        <f t="shared" si="49"/>
        <v>1506.6399999999999</v>
      </c>
      <c r="AD246" s="180">
        <f t="shared" si="49"/>
        <v>1515.74</v>
      </c>
      <c r="AE246" s="180">
        <f t="shared" si="49"/>
        <v>1517.44</v>
      </c>
      <c r="AF246" s="180">
        <f t="shared" si="49"/>
        <v>1506.04</v>
      </c>
      <c r="AG246" s="180">
        <f t="shared" si="49"/>
        <v>1500.7399999999998</v>
      </c>
      <c r="AH246" s="180">
        <f t="shared" si="49"/>
        <v>1528.34</v>
      </c>
      <c r="AI246" s="180">
        <f t="shared" si="49"/>
        <v>1718.6399999999999</v>
      </c>
      <c r="AJ246" s="180">
        <f t="shared" si="49"/>
        <v>1814.54</v>
      </c>
      <c r="AK246" s="180">
        <f t="shared" si="49"/>
        <v>1598.94</v>
      </c>
      <c r="AL246" s="180">
        <f t="shared" si="49"/>
        <v>1571.94</v>
      </c>
      <c r="AM246" s="180">
        <f t="shared" si="49"/>
        <v>1585.54</v>
      </c>
      <c r="AN246" s="180">
        <f t="shared" si="49"/>
        <v>1495.2399999999998</v>
      </c>
      <c r="AO246" s="180">
        <f t="shared" si="49"/>
        <v>1524.54</v>
      </c>
      <c r="AP246" s="180">
        <f t="shared" si="49"/>
        <v>1371.54</v>
      </c>
      <c r="AQ246" s="180">
        <f t="shared" si="49"/>
        <v>1328.94</v>
      </c>
      <c r="AR246" s="180">
        <f t="shared" si="49"/>
        <v>1338.94</v>
      </c>
      <c r="AS246" s="180">
        <f t="shared" si="49"/>
        <v>1344.94</v>
      </c>
      <c r="AT246" s="180">
        <f t="shared" si="49"/>
        <v>1440.24</v>
      </c>
      <c r="AU246" s="180">
        <f t="shared" si="49"/>
        <v>1440.24</v>
      </c>
      <c r="AV246" s="180">
        <f t="shared" si="49"/>
        <v>1386.1399999999999</v>
      </c>
      <c r="AW246" s="180">
        <f t="shared" si="49"/>
        <v>1249.6399999999999</v>
      </c>
      <c r="AX246" s="180">
        <f t="shared" si="49"/>
        <v>1391.04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210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210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210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210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210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210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210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210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210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210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210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210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210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210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210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210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210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210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210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210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50">C231</f>
        <v>0.64</v>
      </c>
      <c r="C267" s="183">
        <f t="shared" si="50"/>
        <v>0.64</v>
      </c>
      <c r="D267" s="183">
        <f t="shared" si="50"/>
        <v>0.64</v>
      </c>
      <c r="E267" s="183">
        <f t="shared" si="50"/>
        <v>0.64</v>
      </c>
      <c r="F267" s="183">
        <f t="shared" si="50"/>
        <v>0.64</v>
      </c>
      <c r="G267" s="183">
        <f t="shared" si="50"/>
        <v>0.64</v>
      </c>
      <c r="H267" s="183">
        <f t="shared" si="50"/>
        <v>0.64</v>
      </c>
      <c r="I267" s="183">
        <f t="shared" si="50"/>
        <v>0.64</v>
      </c>
      <c r="J267" s="183">
        <f t="shared" si="50"/>
        <v>0.64</v>
      </c>
      <c r="K267" s="183">
        <f t="shared" si="50"/>
        <v>0.64</v>
      </c>
      <c r="L267" s="183">
        <f t="shared" si="50"/>
        <v>0.64</v>
      </c>
      <c r="M267" s="183">
        <f t="shared" si="50"/>
        <v>0.64</v>
      </c>
      <c r="N267" s="183">
        <f t="shared" si="50"/>
        <v>0.64</v>
      </c>
      <c r="O267" s="183">
        <f t="shared" si="50"/>
        <v>0.64</v>
      </c>
      <c r="P267" s="183">
        <f t="shared" si="50"/>
        <v>0</v>
      </c>
      <c r="Q267" s="183">
        <f t="shared" si="50"/>
        <v>0</v>
      </c>
      <c r="R267" s="183">
        <f t="shared" si="50"/>
        <v>0</v>
      </c>
      <c r="S267" s="183">
        <f t="shared" si="50"/>
        <v>0</v>
      </c>
      <c r="T267" s="183">
        <f t="shared" si="50"/>
        <v>0</v>
      </c>
      <c r="U267" s="183">
        <f t="shared" si="50"/>
        <v>0</v>
      </c>
      <c r="V267" s="183">
        <f t="shared" si="50"/>
        <v>0</v>
      </c>
      <c r="W267" s="183">
        <f t="shared" si="50"/>
        <v>0</v>
      </c>
      <c r="X267" s="183">
        <f t="shared" si="50"/>
        <v>0</v>
      </c>
      <c r="Y267" s="217">
        <f t="shared" si="50"/>
        <v>0</v>
      </c>
      <c r="Z267" s="183">
        <f t="shared" si="50"/>
        <v>0</v>
      </c>
      <c r="AA267" s="183">
        <f t="shared" si="50"/>
        <v>0</v>
      </c>
      <c r="AB267" s="183">
        <f t="shared" si="50"/>
        <v>0</v>
      </c>
      <c r="AC267" s="183">
        <f t="shared" si="50"/>
        <v>0</v>
      </c>
      <c r="AD267" s="183">
        <f t="shared" si="50"/>
        <v>0</v>
      </c>
      <c r="AE267" s="183">
        <f t="shared" si="50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51">IF(B235&lt;100,"",B235-520)</f>
        <v/>
      </c>
      <c r="C268" s="184" t="str">
        <f t="shared" si="51"/>
        <v/>
      </c>
      <c r="D268" s="184" t="str">
        <f t="shared" si="51"/>
        <v/>
      </c>
      <c r="E268" s="184" t="str">
        <f t="shared" si="51"/>
        <v/>
      </c>
      <c r="F268" s="184" t="str">
        <f t="shared" si="51"/>
        <v/>
      </c>
      <c r="G268" s="184" t="str">
        <f t="shared" si="51"/>
        <v/>
      </c>
      <c r="H268" s="184" t="str">
        <f t="shared" si="51"/>
        <v/>
      </c>
      <c r="I268" s="184" t="str">
        <f t="shared" si="51"/>
        <v/>
      </c>
      <c r="J268" s="184" t="str">
        <f t="shared" si="51"/>
        <v/>
      </c>
      <c r="K268" s="184" t="str">
        <f t="shared" si="51"/>
        <v/>
      </c>
      <c r="L268" s="184" t="str">
        <f t="shared" si="51"/>
        <v/>
      </c>
      <c r="M268" s="184" t="str">
        <f t="shared" si="51"/>
        <v/>
      </c>
      <c r="N268" s="184" t="str">
        <f t="shared" si="51"/>
        <v/>
      </c>
      <c r="O268" s="184" t="str">
        <f t="shared" si="51"/>
        <v/>
      </c>
      <c r="P268" s="184" t="str">
        <f t="shared" si="51"/>
        <v/>
      </c>
      <c r="Q268" s="184" t="str">
        <f t="shared" si="51"/>
        <v/>
      </c>
      <c r="R268" s="184" t="str">
        <f t="shared" si="51"/>
        <v/>
      </c>
      <c r="S268" s="184" t="str">
        <f t="shared" si="51"/>
        <v/>
      </c>
      <c r="T268" s="184" t="str">
        <f t="shared" si="51"/>
        <v/>
      </c>
      <c r="U268" s="184" t="str">
        <f t="shared" si="51"/>
        <v/>
      </c>
      <c r="V268" s="184" t="str">
        <f t="shared" si="51"/>
        <v/>
      </c>
      <c r="W268" s="184" t="str">
        <f t="shared" si="51"/>
        <v/>
      </c>
      <c r="X268" s="184" t="str">
        <f t="shared" si="51"/>
        <v/>
      </c>
      <c r="Y268" s="218" t="str">
        <f t="shared" si="51"/>
        <v/>
      </c>
      <c r="Z268" s="184" t="str">
        <f t="shared" si="51"/>
        <v/>
      </c>
      <c r="AA268" s="184" t="str">
        <f t="shared" si="51"/>
        <v/>
      </c>
      <c r="AB268" s="184" t="str">
        <f t="shared" si="51"/>
        <v/>
      </c>
      <c r="AC268" s="184" t="str">
        <f t="shared" si="51"/>
        <v/>
      </c>
      <c r="AD268" s="184" t="str">
        <f t="shared" si="51"/>
        <v/>
      </c>
      <c r="AE268" s="184" t="str">
        <f t="shared" si="51"/>
        <v/>
      </c>
      <c r="AF268" s="184" t="str">
        <f t="shared" si="51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52">IF(B236&lt;100,"",B236-620)</f>
        <v/>
      </c>
      <c r="C269" s="184" t="str">
        <f t="shared" si="52"/>
        <v/>
      </c>
      <c r="D269" s="184" t="str">
        <f t="shared" si="52"/>
        <v/>
      </c>
      <c r="E269" s="184" t="str">
        <f t="shared" si="52"/>
        <v/>
      </c>
      <c r="F269" s="184" t="str">
        <f t="shared" si="52"/>
        <v/>
      </c>
      <c r="G269" s="184" t="str">
        <f t="shared" si="52"/>
        <v/>
      </c>
      <c r="H269" s="184" t="str">
        <f t="shared" si="52"/>
        <v/>
      </c>
      <c r="I269" s="184" t="str">
        <f t="shared" si="52"/>
        <v/>
      </c>
      <c r="J269" s="184" t="str">
        <f t="shared" si="52"/>
        <v/>
      </c>
      <c r="K269" s="184" t="str">
        <f t="shared" si="52"/>
        <v/>
      </c>
      <c r="L269" s="184" t="str">
        <f t="shared" si="52"/>
        <v/>
      </c>
      <c r="M269" s="184" t="str">
        <f t="shared" si="52"/>
        <v/>
      </c>
      <c r="N269" s="184" t="str">
        <f t="shared" si="52"/>
        <v/>
      </c>
      <c r="O269" s="184" t="str">
        <f t="shared" si="52"/>
        <v/>
      </c>
      <c r="P269" s="184" t="str">
        <f t="shared" si="52"/>
        <v/>
      </c>
      <c r="Q269" s="184" t="str">
        <f t="shared" si="52"/>
        <v/>
      </c>
      <c r="R269" s="184" t="str">
        <f t="shared" si="52"/>
        <v/>
      </c>
      <c r="S269" s="184" t="str">
        <f t="shared" si="52"/>
        <v/>
      </c>
      <c r="T269" s="184" t="str">
        <f t="shared" si="52"/>
        <v/>
      </c>
      <c r="U269" s="184" t="str">
        <f t="shared" si="52"/>
        <v/>
      </c>
      <c r="V269" s="184" t="str">
        <f t="shared" si="52"/>
        <v/>
      </c>
      <c r="W269" s="184" t="str">
        <f t="shared" si="52"/>
        <v/>
      </c>
      <c r="X269" s="184" t="str">
        <f t="shared" si="52"/>
        <v/>
      </c>
      <c r="Y269" s="218" t="str">
        <f t="shared" si="52"/>
        <v/>
      </c>
      <c r="Z269" s="184" t="str">
        <f t="shared" si="52"/>
        <v/>
      </c>
      <c r="AA269" s="184" t="str">
        <f t="shared" si="52"/>
        <v/>
      </c>
      <c r="AB269" s="184" t="str">
        <f t="shared" si="52"/>
        <v/>
      </c>
      <c r="AC269" s="184" t="str">
        <f t="shared" si="52"/>
        <v/>
      </c>
      <c r="AD269" s="184" t="str">
        <f t="shared" si="52"/>
        <v/>
      </c>
      <c r="AE269" s="184" t="str">
        <f t="shared" si="52"/>
        <v/>
      </c>
      <c r="AF269" s="184" t="str">
        <f t="shared" si="52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53">IF(B237&lt;100,"",B237-330)</f>
        <v/>
      </c>
      <c r="C270" s="184" t="str">
        <f t="shared" si="53"/>
        <v/>
      </c>
      <c r="D270" s="184" t="str">
        <f t="shared" si="53"/>
        <v/>
      </c>
      <c r="E270" s="184" t="str">
        <f t="shared" si="53"/>
        <v/>
      </c>
      <c r="F270" s="184" t="str">
        <f t="shared" si="53"/>
        <v/>
      </c>
      <c r="G270" s="184" t="str">
        <f t="shared" si="53"/>
        <v/>
      </c>
      <c r="H270" s="184" t="str">
        <f t="shared" si="53"/>
        <v/>
      </c>
      <c r="I270" s="184" t="str">
        <f t="shared" si="53"/>
        <v/>
      </c>
      <c r="J270" s="184" t="str">
        <f t="shared" si="53"/>
        <v/>
      </c>
      <c r="K270" s="184" t="str">
        <f t="shared" si="53"/>
        <v/>
      </c>
      <c r="L270" s="184" t="str">
        <f t="shared" si="53"/>
        <v/>
      </c>
      <c r="M270" s="184" t="str">
        <f t="shared" si="53"/>
        <v/>
      </c>
      <c r="N270" s="184" t="str">
        <f t="shared" si="53"/>
        <v/>
      </c>
      <c r="O270" s="184" t="str">
        <f t="shared" si="53"/>
        <v/>
      </c>
      <c r="P270" s="184" t="str">
        <f t="shared" si="53"/>
        <v/>
      </c>
      <c r="Q270" s="184" t="str">
        <f t="shared" si="53"/>
        <v/>
      </c>
      <c r="R270" s="184" t="str">
        <f t="shared" si="53"/>
        <v/>
      </c>
      <c r="S270" s="184" t="str">
        <f t="shared" si="53"/>
        <v/>
      </c>
      <c r="T270" s="184" t="str">
        <f t="shared" si="53"/>
        <v/>
      </c>
      <c r="U270" s="184" t="str">
        <f t="shared" si="53"/>
        <v/>
      </c>
      <c r="V270" s="184" t="str">
        <f t="shared" si="53"/>
        <v/>
      </c>
      <c r="W270" s="184" t="str">
        <f t="shared" si="53"/>
        <v/>
      </c>
      <c r="X270" s="184" t="str">
        <f t="shared" si="53"/>
        <v/>
      </c>
      <c r="Y270" s="218" t="str">
        <f t="shared" si="53"/>
        <v/>
      </c>
      <c r="Z270" s="184" t="str">
        <f t="shared" si="53"/>
        <v/>
      </c>
      <c r="AA270" s="184" t="str">
        <f t="shared" si="53"/>
        <v/>
      </c>
      <c r="AB270" s="184" t="str">
        <f t="shared" si="53"/>
        <v/>
      </c>
      <c r="AC270" s="184" t="str">
        <f t="shared" si="53"/>
        <v/>
      </c>
      <c r="AD270" s="184" t="str">
        <f t="shared" si="53"/>
        <v/>
      </c>
      <c r="AE270" s="184" t="str">
        <f t="shared" si="53"/>
        <v/>
      </c>
      <c r="AF270" s="184" t="str">
        <f t="shared" si="53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54">IF(B238&lt;100,"",B238-1500)</f>
        <v/>
      </c>
      <c r="C271" s="184" t="str">
        <f t="shared" si="54"/>
        <v/>
      </c>
      <c r="D271" s="184" t="str">
        <f t="shared" si="54"/>
        <v/>
      </c>
      <c r="E271" s="184" t="str">
        <f t="shared" si="54"/>
        <v/>
      </c>
      <c r="F271" s="184" t="str">
        <f t="shared" si="54"/>
        <v/>
      </c>
      <c r="G271" s="184" t="str">
        <f t="shared" si="54"/>
        <v/>
      </c>
      <c r="H271" s="184" t="str">
        <f t="shared" si="54"/>
        <v/>
      </c>
      <c r="I271" s="184" t="str">
        <f t="shared" si="54"/>
        <v/>
      </c>
      <c r="J271" s="184" t="str">
        <f t="shared" si="54"/>
        <v/>
      </c>
      <c r="K271" s="184" t="str">
        <f t="shared" si="54"/>
        <v/>
      </c>
      <c r="L271" s="184" t="str">
        <f t="shared" si="54"/>
        <v/>
      </c>
      <c r="M271" s="184" t="str">
        <f t="shared" si="54"/>
        <v/>
      </c>
      <c r="N271" s="184" t="str">
        <f t="shared" si="54"/>
        <v/>
      </c>
      <c r="O271" s="184" t="str">
        <f t="shared" si="54"/>
        <v/>
      </c>
      <c r="P271" s="184" t="str">
        <f t="shared" si="54"/>
        <v/>
      </c>
      <c r="Q271" s="184" t="str">
        <f t="shared" si="54"/>
        <v/>
      </c>
      <c r="R271" s="184" t="str">
        <f t="shared" si="54"/>
        <v/>
      </c>
      <c r="S271" s="184" t="str">
        <f t="shared" si="54"/>
        <v/>
      </c>
      <c r="T271" s="184" t="str">
        <f t="shared" si="54"/>
        <v/>
      </c>
      <c r="U271" s="184" t="str">
        <f t="shared" si="54"/>
        <v/>
      </c>
      <c r="V271" s="184" t="str">
        <f t="shared" si="54"/>
        <v/>
      </c>
      <c r="W271" s="184" t="str">
        <f t="shared" si="54"/>
        <v/>
      </c>
      <c r="X271" s="184" t="str">
        <f t="shared" si="54"/>
        <v/>
      </c>
      <c r="Y271" s="218" t="str">
        <f t="shared" si="54"/>
        <v/>
      </c>
      <c r="Z271" s="184" t="str">
        <f t="shared" si="54"/>
        <v/>
      </c>
      <c r="AA271" s="184" t="str">
        <f t="shared" si="54"/>
        <v/>
      </c>
      <c r="AB271" s="184" t="str">
        <f t="shared" si="54"/>
        <v/>
      </c>
      <c r="AC271" s="184" t="str">
        <f t="shared" si="54"/>
        <v/>
      </c>
      <c r="AD271" s="184" t="str">
        <f t="shared" si="54"/>
        <v/>
      </c>
      <c r="AE271" s="184" t="str">
        <f t="shared" si="54"/>
        <v/>
      </c>
      <c r="AF271" s="184" t="str">
        <f t="shared" si="54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210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210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210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210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210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210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210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51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15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4808" priority="511">
      <formula>B$9&gt;=20/24</formula>
    </cfRule>
    <cfRule type="expression" dxfId="4807" priority="512">
      <formula>AND(B$9&gt;=14/24,B$9&lt;20/24)</formula>
    </cfRule>
    <cfRule type="expression" dxfId="4806" priority="513">
      <formula>AND(B$9&gt;=8/24,B$9&lt;14/24)</formula>
    </cfRule>
    <cfRule type="expression" dxfId="4805" priority="514">
      <formula>B$9&lt;8/24</formula>
    </cfRule>
  </conditionalFormatting>
  <conditionalFormatting sqref="AL4:AL6">
    <cfRule type="iconSet" priority="510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4804" priority="509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4803" priority="508">
      <formula>$AH12=0</formula>
    </cfRule>
  </conditionalFormatting>
  <conditionalFormatting sqref="A114">
    <cfRule type="expression" dxfId="4802" priority="507">
      <formula>$AH114=0</formula>
    </cfRule>
  </conditionalFormatting>
  <conditionalFormatting sqref="AL42">
    <cfRule type="iconSet" priority="506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4801" priority="505">
      <formula>$AH45=0</formula>
    </cfRule>
  </conditionalFormatting>
  <conditionalFormatting sqref="A98">
    <cfRule type="expression" dxfId="4800" priority="504">
      <formula>$AH98=0</formula>
    </cfRule>
  </conditionalFormatting>
  <conditionalFormatting sqref="A18">
    <cfRule type="expression" dxfId="4799" priority="503">
      <formula>$AH18=0</formula>
    </cfRule>
  </conditionalFormatting>
  <conditionalFormatting sqref="A196:A201">
    <cfRule type="expression" dxfId="4798" priority="502">
      <formula>$AH196=0</formula>
    </cfRule>
  </conditionalFormatting>
  <conditionalFormatting sqref="A190:A195">
    <cfRule type="expression" dxfId="4797" priority="501">
      <formula>$AH190=0</formula>
    </cfRule>
  </conditionalFormatting>
  <conditionalFormatting sqref="A58">
    <cfRule type="expression" dxfId="4796" priority="500">
      <formula>$AH58=0</formula>
    </cfRule>
  </conditionalFormatting>
  <conditionalFormatting sqref="A94">
    <cfRule type="expression" dxfId="4795" priority="499">
      <formula>$AH94=0</formula>
    </cfRule>
  </conditionalFormatting>
  <conditionalFormatting sqref="E99:X99 AE99:AF99">
    <cfRule type="expression" dxfId="4794" priority="495">
      <formula>E$9&gt;=20/24</formula>
    </cfRule>
    <cfRule type="expression" dxfId="4793" priority="496">
      <formula>AND(E$9&gt;=14/24,E$9&lt;20/24)</formula>
    </cfRule>
    <cfRule type="expression" dxfId="4792" priority="497">
      <formula>AND(E$9&gt;=8/24,E$9&lt;14/24)</formula>
    </cfRule>
    <cfRule type="expression" dxfId="4791" priority="498">
      <formula>E$9&lt;8/24</formula>
    </cfRule>
  </conditionalFormatting>
  <conditionalFormatting sqref="AL43">
    <cfRule type="iconSet" priority="49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790" priority="517">
      <formula>C$9&gt;=20/24</formula>
    </cfRule>
    <cfRule type="expression" dxfId="4789" priority="518">
      <formula>AND(C$9&gt;=14/24,C$9&lt;20/24)</formula>
    </cfRule>
    <cfRule type="expression" dxfId="4788" priority="519">
      <formula>AND(C$9&gt;=8/24,C$9&lt;14/24)</formula>
    </cfRule>
    <cfRule type="expression" dxfId="4787" priority="520">
      <formula>C$9&lt;8/24</formula>
    </cfRule>
  </conditionalFormatting>
  <conditionalFormatting sqref="A233">
    <cfRule type="expression" dxfId="4786" priority="521">
      <formula>$AH233=0</formula>
    </cfRule>
  </conditionalFormatting>
  <conditionalFormatting sqref="AG245">
    <cfRule type="expression" dxfId="4785" priority="522">
      <formula>B$9&gt;=20/24</formula>
    </cfRule>
    <cfRule type="expression" dxfId="4784" priority="523">
      <formula>AND(B$9&gt;=14/24,B$9&lt;20/24)</formula>
    </cfRule>
    <cfRule type="expression" dxfId="4783" priority="524">
      <formula>AND(B$9&gt;=8/24,B$9&lt;14/24)</formula>
    </cfRule>
    <cfRule type="expression" dxfId="4782" priority="525">
      <formula>B$9&lt;8/24</formula>
    </cfRule>
  </conditionalFormatting>
  <conditionalFormatting sqref="S8">
    <cfRule type="expression" dxfId="4781" priority="490">
      <formula>U$9&gt;=20/24</formula>
    </cfRule>
    <cfRule type="expression" dxfId="4780" priority="491">
      <formula>AND(U$9&gt;=14/24,U$9&lt;20/24)</formula>
    </cfRule>
    <cfRule type="expression" dxfId="4779" priority="492">
      <formula>AND(U$9&gt;=8/24,U$9&lt;14/24)</formula>
    </cfRule>
    <cfRule type="expression" dxfId="4778" priority="493">
      <formula>U$9&lt;8/24</formula>
    </cfRule>
  </conditionalFormatting>
  <conditionalFormatting sqref="AB8">
    <cfRule type="expression" dxfId="4777" priority="486">
      <formula>AD$9&gt;=20/24</formula>
    </cfRule>
    <cfRule type="expression" dxfId="4776" priority="487">
      <formula>AND(AD$9&gt;=14/24,AD$9&lt;20/24)</formula>
    </cfRule>
    <cfRule type="expression" dxfId="4775" priority="488">
      <formula>AND(AD$9&gt;=8/24,AD$9&lt;14/24)</formula>
    </cfRule>
    <cfRule type="expression" dxfId="4774" priority="489">
      <formula>AD$9&lt;8/24</formula>
    </cfRule>
  </conditionalFormatting>
  <conditionalFormatting sqref="AH245:AX245">
    <cfRule type="expression" dxfId="4773" priority="526">
      <formula>AG$9&gt;=20/24</formula>
    </cfRule>
    <cfRule type="expression" dxfId="4772" priority="527">
      <formula>AND(AG$9&gt;=14/24,AG$9&lt;20/24)</formula>
    </cfRule>
    <cfRule type="expression" dxfId="4771" priority="528">
      <formula>AND(AG$9&gt;=8/24,AG$9&lt;14/24)</formula>
    </cfRule>
    <cfRule type="expression" dxfId="4770" priority="529">
      <formula>AG$9&lt;8/24</formula>
    </cfRule>
  </conditionalFormatting>
  <conditionalFormatting sqref="T245">
    <cfRule type="expression" dxfId="4769" priority="530">
      <formula>AX$9&gt;=20/24</formula>
    </cfRule>
    <cfRule type="expression" dxfId="4768" priority="531">
      <formula>AND(AX$9&gt;=14/24,AX$9&lt;20/24)</formula>
    </cfRule>
    <cfRule type="expression" dxfId="4767" priority="532">
      <formula>AND(AX$9&gt;=8/24,AX$9&lt;14/24)</formula>
    </cfRule>
    <cfRule type="expression" dxfId="4766" priority="533">
      <formula>AX$9&lt;8/24</formula>
    </cfRule>
  </conditionalFormatting>
  <conditionalFormatting sqref="A115:A116">
    <cfRule type="expression" dxfId="4765" priority="485">
      <formula>$AH115=0</formula>
    </cfRule>
  </conditionalFormatting>
  <conditionalFormatting sqref="P54:Q58 R57:AF58 E71:AF71">
    <cfRule type="expression" dxfId="4764" priority="481">
      <formula>E$9&gt;=20/24</formula>
    </cfRule>
    <cfRule type="expression" dxfId="4763" priority="482">
      <formula>AND(E$9&gt;=14/24,E$9&lt;20/24)</formula>
    </cfRule>
    <cfRule type="expression" dxfId="4762" priority="483">
      <formula>AND(E$9&gt;=8/24,E$9&lt;14/24)</formula>
    </cfRule>
    <cfRule type="expression" dxfId="4761" priority="484">
      <formula>E$9&lt;8/24</formula>
    </cfRule>
  </conditionalFormatting>
  <conditionalFormatting sqref="P53:Q53">
    <cfRule type="expression" dxfId="4760" priority="477">
      <formula>P$9&gt;=20/24</formula>
    </cfRule>
    <cfRule type="expression" dxfId="4759" priority="478">
      <formula>AND(P$9&gt;=14/24,P$9&lt;20/24)</formula>
    </cfRule>
    <cfRule type="expression" dxfId="4758" priority="479">
      <formula>AND(P$9&gt;=8/24,P$9&lt;14/24)</formula>
    </cfRule>
    <cfRule type="expression" dxfId="4757" priority="480">
      <formula>P$9&lt;8/24</formula>
    </cfRule>
  </conditionalFormatting>
  <conditionalFormatting sqref="P53:Q58 R57:AF58">
    <cfRule type="expression" dxfId="4756" priority="476">
      <formula>P53&gt;$AG53</formula>
    </cfRule>
  </conditionalFormatting>
  <conditionalFormatting sqref="X96:AF96 X47:AF47 D86:AF86 M100:X106 AB67:AF69 E72:AF73 AE100:AF106">
    <cfRule type="expression" dxfId="4755" priority="472">
      <formula>D$9&gt;=20/24</formula>
    </cfRule>
    <cfRule type="expression" dxfId="4754" priority="473">
      <formula>AND(D$9&gt;=14/24,D$9&lt;20/24)</formula>
    </cfRule>
    <cfRule type="expression" dxfId="4753" priority="474">
      <formula>AND(D$9&gt;=8/24,D$9&lt;14/24)</formula>
    </cfRule>
    <cfRule type="expression" dxfId="4752" priority="475">
      <formula>D$9&lt;8/24</formula>
    </cfRule>
  </conditionalFormatting>
  <conditionalFormatting sqref="X47:AF47 AB67:AF69">
    <cfRule type="expression" dxfId="4751" priority="471">
      <formula>X47&gt;$AG47</formula>
    </cfRule>
  </conditionalFormatting>
  <conditionalFormatting sqref="R53:AF56">
    <cfRule type="expression" dxfId="4750" priority="467">
      <formula>R$9&gt;=20/24</formula>
    </cfRule>
    <cfRule type="expression" dxfId="4749" priority="468">
      <formula>AND(R$9&gt;=14/24,R$9&lt;20/24)</formula>
    </cfRule>
    <cfRule type="expression" dxfId="4748" priority="469">
      <formula>AND(R$9&gt;=8/24,R$9&lt;14/24)</formula>
    </cfRule>
    <cfRule type="expression" dxfId="4747" priority="470">
      <formula>R$9&lt;8/24</formula>
    </cfRule>
  </conditionalFormatting>
  <conditionalFormatting sqref="R53:AF56">
    <cfRule type="expression" dxfId="4746" priority="466">
      <formula>R53&gt;$AG53</formula>
    </cfRule>
  </conditionalFormatting>
  <conditionalFormatting sqref="C97:AF97 D88:AF88">
    <cfRule type="expression" dxfId="4745" priority="462">
      <formula>C$9&gt;=20/24</formula>
    </cfRule>
    <cfRule type="expression" dxfId="4744" priority="463">
      <formula>AND(C$9&gt;=14/24,C$9&lt;20/24)</formula>
    </cfRule>
    <cfRule type="expression" dxfId="4743" priority="464">
      <formula>AND(C$9&gt;=8/24,C$9&lt;14/24)</formula>
    </cfRule>
    <cfRule type="expression" dxfId="4742" priority="465">
      <formula>C$9&lt;8/24</formula>
    </cfRule>
  </conditionalFormatting>
  <conditionalFormatting sqref="T47:W47">
    <cfRule type="expression" dxfId="4741" priority="458">
      <formula>T$9&gt;=20/24</formula>
    </cfRule>
    <cfRule type="expression" dxfId="4740" priority="459">
      <formula>AND(T$9&gt;=14/24,T$9&lt;20/24)</formula>
    </cfRule>
    <cfRule type="expression" dxfId="4739" priority="460">
      <formula>AND(T$9&gt;=8/24,T$9&lt;14/24)</formula>
    </cfRule>
    <cfRule type="expression" dxfId="4738" priority="461">
      <formula>T$9&lt;8/24</formula>
    </cfRule>
  </conditionalFormatting>
  <conditionalFormatting sqref="T47:W47">
    <cfRule type="expression" dxfId="4737" priority="457">
      <formula>T47&gt;$AG47</formula>
    </cfRule>
  </conditionalFormatting>
  <conditionalFormatting sqref="G54:O55">
    <cfRule type="expression" dxfId="4736" priority="453">
      <formula>G$9&gt;=20/24</formula>
    </cfRule>
    <cfRule type="expression" dxfId="4735" priority="454">
      <formula>AND(G$9&gt;=14/24,G$9&lt;20/24)</formula>
    </cfRule>
    <cfRule type="expression" dxfId="4734" priority="455">
      <formula>AND(G$9&gt;=8/24,G$9&lt;14/24)</formula>
    </cfRule>
    <cfRule type="expression" dxfId="4733" priority="456">
      <formula>G$9&lt;8/24</formula>
    </cfRule>
  </conditionalFormatting>
  <conditionalFormatting sqref="G53:O53">
    <cfRule type="expression" dxfId="4732" priority="449">
      <formula>G$9&gt;=20/24</formula>
    </cfRule>
    <cfRule type="expression" dxfId="4731" priority="450">
      <formula>AND(G$9&gt;=14/24,G$9&lt;20/24)</formula>
    </cfRule>
    <cfRule type="expression" dxfId="4730" priority="451">
      <formula>AND(G$9&gt;=8/24,G$9&lt;14/24)</formula>
    </cfRule>
    <cfRule type="expression" dxfId="4729" priority="452">
      <formula>G$9&lt;8/24</formula>
    </cfRule>
  </conditionalFormatting>
  <conditionalFormatting sqref="G53:O55">
    <cfRule type="expression" dxfId="4728" priority="448">
      <formula>G53&gt;$AG53</formula>
    </cfRule>
  </conditionalFormatting>
  <conditionalFormatting sqref="AG70 AG87 E100:L106">
    <cfRule type="expression" dxfId="4727" priority="444">
      <formula>E$9&gt;=20/24</formula>
    </cfRule>
    <cfRule type="expression" dxfId="4726" priority="445">
      <formula>AND(E$9&gt;=14/24,E$9&lt;20/24)</formula>
    </cfRule>
    <cfRule type="expression" dxfId="4725" priority="446">
      <formula>AND(E$9&gt;=8/24,E$9&lt;14/24)</formula>
    </cfRule>
    <cfRule type="expression" dxfId="4724" priority="447">
      <formula>E$9&lt;8/24</formula>
    </cfRule>
  </conditionalFormatting>
  <conditionalFormatting sqref="AG48 AG66 AG70">
    <cfRule type="expression" dxfId="4723" priority="443">
      <formula>AG48&gt;$AG48</formula>
    </cfRule>
  </conditionalFormatting>
  <conditionalFormatting sqref="A43">
    <cfRule type="expression" dxfId="4722" priority="437">
      <formula>$AH43=0</formula>
    </cfRule>
  </conditionalFormatting>
  <conditionalFormatting sqref="X91:AF95">
    <cfRule type="expression" dxfId="4721" priority="433">
      <formula>X$9&gt;=20/24</formula>
    </cfRule>
    <cfRule type="expression" dxfId="4720" priority="434">
      <formula>AND(X$9&gt;=14/24,X$9&lt;20/24)</formula>
    </cfRule>
    <cfRule type="expression" dxfId="4719" priority="435">
      <formula>AND(X$9&gt;=8/24,X$9&lt;14/24)</formula>
    </cfRule>
    <cfRule type="expression" dxfId="4718" priority="436">
      <formula>X$9&lt;8/24</formula>
    </cfRule>
  </conditionalFormatting>
  <conditionalFormatting sqref="AL45 AL41 AL22:AL32 AL38:AL39 AL7:AL15 AL17:AL20 AL34:AL36">
    <cfRule type="iconSet" priority="534">
      <iconSet iconSet="3TrafficLights2" reverse="1">
        <cfvo type="percent" val="0"/>
        <cfvo type="num" val="1"/>
        <cfvo type="num" val="1"/>
      </iconSet>
    </cfRule>
  </conditionalFormatting>
  <conditionalFormatting sqref="E49:G49 H49:AF51">
    <cfRule type="expression" dxfId="4717" priority="429">
      <formula>E$9&gt;=20/24</formula>
    </cfRule>
    <cfRule type="expression" dxfId="4716" priority="430">
      <formula>AND(E$9&gt;=14/24,E$9&lt;20/24)</formula>
    </cfRule>
    <cfRule type="expression" dxfId="4715" priority="431">
      <formula>AND(E$9&gt;=8/24,E$9&lt;14/24)</formula>
    </cfRule>
    <cfRule type="expression" dxfId="4714" priority="432">
      <formula>E$9&lt;8/24</formula>
    </cfRule>
  </conditionalFormatting>
  <conditionalFormatting sqref="E49:G49 H49:AF51">
    <cfRule type="expression" dxfId="4713" priority="428">
      <formula>E49&gt;$AG49</formula>
    </cfRule>
  </conditionalFormatting>
  <conditionalFormatting sqref="AG52">
    <cfRule type="expression" dxfId="4712" priority="424">
      <formula>AG$9&gt;=20/24</formula>
    </cfRule>
    <cfRule type="expression" dxfId="4711" priority="425">
      <formula>AND(AG$9&gt;=14/24,AG$9&lt;20/24)</formula>
    </cfRule>
    <cfRule type="expression" dxfId="4710" priority="426">
      <formula>AND(AG$9&gt;=8/24,AG$9&lt;14/24)</formula>
    </cfRule>
    <cfRule type="expression" dxfId="4709" priority="427">
      <formula>AG$9&lt;8/24</formula>
    </cfRule>
  </conditionalFormatting>
  <conditionalFormatting sqref="AG52">
    <cfRule type="expression" dxfId="4708" priority="423">
      <formula>AG52&gt;$AG52</formula>
    </cfRule>
  </conditionalFormatting>
  <conditionalFormatting sqref="C107:AF107">
    <cfRule type="expression" dxfId="4707" priority="419">
      <formula>C$9&gt;=20/24</formula>
    </cfRule>
    <cfRule type="expression" dxfId="4706" priority="420">
      <formula>AND(C$9&gt;=14/24,C$9&lt;20/24)</formula>
    </cfRule>
    <cfRule type="expression" dxfId="4705" priority="421">
      <formula>AND(C$9&gt;=8/24,C$9&lt;14/24)</formula>
    </cfRule>
    <cfRule type="expression" dxfId="4704" priority="422">
      <formula>C$9&lt;8/24</formula>
    </cfRule>
  </conditionalFormatting>
  <conditionalFormatting sqref="AL40">
    <cfRule type="iconSet" priority="418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4703" priority="417">
      <formula>$AH40=0</formula>
    </cfRule>
  </conditionalFormatting>
  <conditionalFormatting sqref="A90">
    <cfRule type="expression" dxfId="4702" priority="415">
      <formula>$AH90=0</formula>
    </cfRule>
  </conditionalFormatting>
  <conditionalFormatting sqref="A87">
    <cfRule type="expression" dxfId="4701" priority="416">
      <formula>$AH87=0</formula>
    </cfRule>
  </conditionalFormatting>
  <conditionalFormatting sqref="D110:AF110">
    <cfRule type="expression" dxfId="4700" priority="411">
      <formula>D$9&gt;=20/24</formula>
    </cfRule>
    <cfRule type="expression" dxfId="4699" priority="412">
      <formula>AND(D$9&gt;=14/24,D$9&lt;20/24)</formula>
    </cfRule>
    <cfRule type="expression" dxfId="4698" priority="413">
      <formula>AND(D$9&gt;=8/24,D$9&lt;14/24)</formula>
    </cfRule>
    <cfRule type="expression" dxfId="4697" priority="414">
      <formula>D$9&lt;8/24</formula>
    </cfRule>
  </conditionalFormatting>
  <conditionalFormatting sqref="A110">
    <cfRule type="expression" dxfId="4696" priority="410">
      <formula>$AH110=0</formula>
    </cfRule>
  </conditionalFormatting>
  <conditionalFormatting sqref="A21">
    <cfRule type="expression" dxfId="4695" priority="408">
      <formula>$AH21=0</formula>
    </cfRule>
  </conditionalFormatting>
  <conditionalFormatting sqref="AL21">
    <cfRule type="iconSet" priority="409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694" priority="406">
      <formula>$AH37=0</formula>
    </cfRule>
  </conditionalFormatting>
  <conditionalFormatting sqref="AL37">
    <cfRule type="iconSet" priority="407">
      <iconSet iconSet="3TrafficLights2" reverse="1">
        <cfvo type="percent" val="0"/>
        <cfvo type="num" val="1"/>
        <cfvo type="num" val="1"/>
      </iconSet>
    </cfRule>
  </conditionalFormatting>
  <conditionalFormatting sqref="Y99:AD99">
    <cfRule type="expression" dxfId="4693" priority="402">
      <formula>Y$9&gt;=20/24</formula>
    </cfRule>
    <cfRule type="expression" dxfId="4692" priority="403">
      <formula>AND(Y$9&gt;=14/24,Y$9&lt;20/24)</formula>
    </cfRule>
    <cfRule type="expression" dxfId="4691" priority="404">
      <formula>AND(Y$9&gt;=8/24,Y$9&lt;14/24)</formula>
    </cfRule>
    <cfRule type="expression" dxfId="4690" priority="405">
      <formula>Y$9&lt;8/24</formula>
    </cfRule>
  </conditionalFormatting>
  <conditionalFormatting sqref="Y100:AD106">
    <cfRule type="expression" dxfId="4689" priority="398">
      <formula>Y$9&gt;=20/24</formula>
    </cfRule>
    <cfRule type="expression" dxfId="4688" priority="399">
      <formula>AND(Y$9&gt;=14/24,Y$9&lt;20/24)</formula>
    </cfRule>
    <cfRule type="expression" dxfId="4687" priority="400">
      <formula>AND(Y$9&gt;=8/24,Y$9&lt;14/24)</formula>
    </cfRule>
    <cfRule type="expression" dxfId="4686" priority="401">
      <formula>Y$9&lt;8/24</formula>
    </cfRule>
  </conditionalFormatting>
  <conditionalFormatting sqref="C109">
    <cfRule type="expression" dxfId="4685" priority="394">
      <formula>C$9&gt;=20/24</formula>
    </cfRule>
    <cfRule type="expression" dxfId="4684" priority="395">
      <formula>AND(C$9&gt;=14/24,C$9&lt;20/24)</formula>
    </cfRule>
    <cfRule type="expression" dxfId="4683" priority="396">
      <formula>AND(C$9&gt;=8/24,C$9&lt;14/24)</formula>
    </cfRule>
    <cfRule type="expression" dxfId="4682" priority="397">
      <formula>C$9&lt;8/24</formula>
    </cfRule>
  </conditionalFormatting>
  <conditionalFormatting sqref="C47:S47">
    <cfRule type="expression" dxfId="4681" priority="390">
      <formula>C$9&gt;=20/24</formula>
    </cfRule>
    <cfRule type="expression" dxfId="4680" priority="391">
      <formula>AND(C$9&gt;=14/24,C$9&lt;20/24)</formula>
    </cfRule>
    <cfRule type="expression" dxfId="4679" priority="392">
      <formula>AND(C$9&gt;=8/24,C$9&lt;14/24)</formula>
    </cfRule>
    <cfRule type="expression" dxfId="4678" priority="393">
      <formula>C$9&lt;8/24</formula>
    </cfRule>
  </conditionalFormatting>
  <conditionalFormatting sqref="C47:S47">
    <cfRule type="expression" dxfId="4677" priority="389">
      <formula>C47&gt;$AG47</formula>
    </cfRule>
  </conditionalFormatting>
  <conditionalFormatting sqref="C99:D99">
    <cfRule type="expression" dxfId="4676" priority="385">
      <formula>C$9&gt;=20/24</formula>
    </cfRule>
    <cfRule type="expression" dxfId="4675" priority="386">
      <formula>AND(C$9&gt;=14/24,C$9&lt;20/24)</formula>
    </cfRule>
    <cfRule type="expression" dxfId="4674" priority="387">
      <formula>AND(C$9&gt;=8/24,C$9&lt;14/24)</formula>
    </cfRule>
    <cfRule type="expression" dxfId="4673" priority="388">
      <formula>C$9&lt;8/24</formula>
    </cfRule>
  </conditionalFormatting>
  <conditionalFormatting sqref="C86 D100:D106 E74:O75 C96:W96 C83:AF85 J67:AA69 P74:AF76">
    <cfRule type="expression" dxfId="4672" priority="381">
      <formula>C$9&gt;=20/24</formula>
    </cfRule>
    <cfRule type="expression" dxfId="4671" priority="382">
      <formula>AND(C$9&gt;=14/24,C$9&lt;20/24)</formula>
    </cfRule>
    <cfRule type="expression" dxfId="4670" priority="383">
      <formula>AND(C$9&gt;=8/24,C$9&lt;14/24)</formula>
    </cfRule>
    <cfRule type="expression" dxfId="4669" priority="384">
      <formula>C$9&lt;8/24</formula>
    </cfRule>
  </conditionalFormatting>
  <conditionalFormatting sqref="G56:L56 H57:L57 M56:O57 J67:AA69">
    <cfRule type="expression" dxfId="4668" priority="380">
      <formula>G56&gt;$AG56</formula>
    </cfRule>
  </conditionalFormatting>
  <conditionalFormatting sqref="D71">
    <cfRule type="expression" dxfId="4667" priority="304">
      <formula>D$9&gt;=20/24</formula>
    </cfRule>
    <cfRule type="expression" dxfId="4666" priority="305">
      <formula>AND(D$9&gt;=14/24,D$9&lt;20/24)</formula>
    </cfRule>
    <cfRule type="expression" dxfId="4665" priority="306">
      <formula>AND(D$9&gt;=8/24,D$9&lt;14/24)</formula>
    </cfRule>
    <cfRule type="expression" dxfId="4664" priority="307">
      <formula>D$9&lt;8/24</formula>
    </cfRule>
  </conditionalFormatting>
  <conditionalFormatting sqref="C98:AF98 M70:AF70 C89:AF89 C87:AF87">
    <cfRule type="expression" dxfId="4663" priority="371">
      <formula>C$9&gt;=20/24</formula>
    </cfRule>
    <cfRule type="expression" dxfId="4662" priority="372">
      <formula>AND(C$9&gt;=14/24,C$9&lt;20/24)</formula>
    </cfRule>
    <cfRule type="expression" dxfId="4661" priority="373">
      <formula>AND(C$9&gt;=8/24,C$9&lt;14/24)</formula>
    </cfRule>
    <cfRule type="expression" dxfId="4660" priority="374">
      <formula>C$9&lt;8/24</formula>
    </cfRule>
  </conditionalFormatting>
  <conditionalFormatting sqref="M70:AF70 C65:AF66">
    <cfRule type="expression" dxfId="4659" priority="370">
      <formula>C65&gt;$AG65</formula>
    </cfRule>
  </conditionalFormatting>
  <conditionalFormatting sqref="C82:AF82">
    <cfRule type="expression" dxfId="4658" priority="366">
      <formula>C$9&gt;=20/24</formula>
    </cfRule>
    <cfRule type="expression" dxfId="4657" priority="367">
      <formula>AND(C$9&gt;=14/24,C$9&lt;20/24)</formula>
    </cfRule>
    <cfRule type="expression" dxfId="4656" priority="368">
      <formula>AND(C$9&gt;=8/24,C$9&lt;14/24)</formula>
    </cfRule>
    <cfRule type="expression" dxfId="4655" priority="369">
      <formula>C$9&lt;8/24</formula>
    </cfRule>
  </conditionalFormatting>
  <conditionalFormatting sqref="C91:W95">
    <cfRule type="expression" dxfId="4654" priority="362">
      <formula>C$9&gt;=20/24</formula>
    </cfRule>
    <cfRule type="expression" dxfId="4653" priority="363">
      <formula>AND(C$9&gt;=14/24,C$9&lt;20/24)</formula>
    </cfRule>
    <cfRule type="expression" dxfId="4652" priority="364">
      <formula>AND(C$9&gt;=8/24,C$9&lt;14/24)</formula>
    </cfRule>
    <cfRule type="expression" dxfId="4651" priority="365">
      <formula>C$9&lt;8/24</formula>
    </cfRule>
  </conditionalFormatting>
  <conditionalFormatting sqref="C52:AF52">
    <cfRule type="expression" dxfId="4650" priority="358">
      <formula>C$9&gt;=20/24</formula>
    </cfRule>
    <cfRule type="expression" dxfId="4649" priority="359">
      <formula>AND(C$9&gt;=14/24,C$9&lt;20/24)</formula>
    </cfRule>
    <cfRule type="expression" dxfId="4648" priority="360">
      <formula>AND(C$9&gt;=8/24,C$9&lt;14/24)</formula>
    </cfRule>
    <cfRule type="expression" dxfId="4647" priority="361">
      <formula>C$9&lt;8/24</formula>
    </cfRule>
  </conditionalFormatting>
  <conditionalFormatting sqref="C52:AF52">
    <cfRule type="expression" dxfId="4646" priority="357">
      <formula>C52&gt;$AG52</formula>
    </cfRule>
  </conditionalFormatting>
  <conditionalFormatting sqref="C49:D49">
    <cfRule type="expression" dxfId="4645" priority="272">
      <formula>C$9&gt;=20/24</formula>
    </cfRule>
    <cfRule type="expression" dxfId="4644" priority="273">
      <formula>AND(C$9&gt;=14/24,C$9&lt;20/24)</formula>
    </cfRule>
    <cfRule type="expression" dxfId="4643" priority="274">
      <formula>AND(C$9&gt;=8/24,C$9&lt;14/24)</formula>
    </cfRule>
    <cfRule type="expression" dxfId="4642" priority="275">
      <formula>C$9&lt;8/24</formula>
    </cfRule>
  </conditionalFormatting>
  <conditionalFormatting sqref="C110">
    <cfRule type="expression" dxfId="4641" priority="349">
      <formula>C$9&gt;=20/24</formula>
    </cfRule>
    <cfRule type="expression" dxfId="4640" priority="350">
      <formula>AND(C$9&gt;=14/24,C$9&lt;20/24)</formula>
    </cfRule>
    <cfRule type="expression" dxfId="4639" priority="351">
      <formula>AND(C$9&gt;=8/24,C$9&lt;14/24)</formula>
    </cfRule>
    <cfRule type="expression" dxfId="4638" priority="352">
      <formula>C$9&lt;8/24</formula>
    </cfRule>
  </conditionalFormatting>
  <conditionalFormatting sqref="P59:AF64">
    <cfRule type="expression" dxfId="4637" priority="345">
      <formula>P$9&gt;=20/24</formula>
    </cfRule>
    <cfRule type="expression" dxfId="4636" priority="346">
      <formula>AND(P$9&gt;=14/24,P$9&lt;20/24)</formula>
    </cfRule>
    <cfRule type="expression" dxfId="4635" priority="347">
      <formula>AND(P$9&gt;=8/24,P$9&lt;14/24)</formula>
    </cfRule>
    <cfRule type="expression" dxfId="4634" priority="348">
      <formula>P$9&lt;8/24</formula>
    </cfRule>
  </conditionalFormatting>
  <conditionalFormatting sqref="P59:AF64">
    <cfRule type="expression" dxfId="4633" priority="344">
      <formula>P59&gt;$AG59</formula>
    </cfRule>
  </conditionalFormatting>
  <conditionalFormatting sqref="P77:AF81">
    <cfRule type="expression" dxfId="4632" priority="326">
      <formula>P$9&gt;=20/24</formula>
    </cfRule>
    <cfRule type="expression" dxfId="4631" priority="327">
      <formula>AND(P$9&gt;=14/24,P$9&lt;20/24)</formula>
    </cfRule>
    <cfRule type="expression" dxfId="4630" priority="328">
      <formula>AND(P$9&gt;=8/24,P$9&lt;14/24)</formula>
    </cfRule>
    <cfRule type="expression" dxfId="4629" priority="329">
      <formula>P$9&lt;8/24</formula>
    </cfRule>
  </conditionalFormatting>
  <conditionalFormatting sqref="AL78:AN78 AL84:AN84 AN79:AN80">
    <cfRule type="expression" dxfId="4628" priority="322">
      <formula>AL$9&gt;=20/24</formula>
    </cfRule>
    <cfRule type="expression" dxfId="4627" priority="323">
      <formula>AND(AL$9&gt;=14/24,AL$9&lt;20/24)</formula>
    </cfRule>
    <cfRule type="expression" dxfId="4626" priority="324">
      <formula>AND(AL$9&gt;=8/24,AL$9&lt;14/24)</formula>
    </cfRule>
    <cfRule type="expression" dxfId="4625" priority="325">
      <formula>AL$9&lt;8/24</formula>
    </cfRule>
  </conditionalFormatting>
  <conditionalFormatting sqref="AN81:AN82">
    <cfRule type="expression" dxfId="4624" priority="318">
      <formula>AN$9&gt;=20/24</formula>
    </cfRule>
    <cfRule type="expression" dxfId="4623" priority="319">
      <formula>AND(AN$9&gt;=14/24,AN$9&lt;20/24)</formula>
    </cfRule>
    <cfRule type="expression" dxfId="4622" priority="320">
      <formula>AND(AN$9&gt;=8/24,AN$9&lt;14/24)</formula>
    </cfRule>
    <cfRule type="expression" dxfId="4621" priority="321">
      <formula>AN$9&lt;8/24</formula>
    </cfRule>
  </conditionalFormatting>
  <conditionalFormatting sqref="AL79:AM83">
    <cfRule type="expression" dxfId="4620" priority="535">
      <formula>AJ$9&gt;=20/24</formula>
    </cfRule>
    <cfRule type="expression" dxfId="4619" priority="536">
      <formula>AND(AJ$9&gt;=14/24,AJ$9&lt;20/24)</formula>
    </cfRule>
    <cfRule type="expression" dxfId="4618" priority="537">
      <formula>AND(AJ$9&gt;=8/24,AJ$9&lt;14/24)</formula>
    </cfRule>
    <cfRule type="expression" dxfId="4617" priority="538">
      <formula>AJ$9&lt;8/24</formula>
    </cfRule>
  </conditionalFormatting>
  <conditionalFormatting sqref="A117">
    <cfRule type="expression" dxfId="4616" priority="317">
      <formula>$AH117=0</formula>
    </cfRule>
  </conditionalFormatting>
  <conditionalFormatting sqref="D72:D74">
    <cfRule type="expression" dxfId="4615" priority="295">
      <formula>D$9&gt;=20/24</formula>
    </cfRule>
    <cfRule type="expression" dxfId="4614" priority="296">
      <formula>AND(D$9&gt;=14/24,D$9&lt;20/24)</formula>
    </cfRule>
    <cfRule type="expression" dxfId="4613" priority="297">
      <formula>AND(D$9&gt;=8/24,D$9&lt;14/24)</formula>
    </cfRule>
    <cfRule type="expression" dxfId="4612" priority="298">
      <formula>D$9&lt;8/24</formula>
    </cfRule>
  </conditionalFormatting>
  <conditionalFormatting sqref="C88">
    <cfRule type="expression" dxfId="4611" priority="290">
      <formula>C$9&gt;=20/24</formula>
    </cfRule>
    <cfRule type="expression" dxfId="4610" priority="291">
      <formula>AND(C$9&gt;=14/24,C$9&lt;20/24)</formula>
    </cfRule>
    <cfRule type="expression" dxfId="4609" priority="292">
      <formula>AND(C$9&gt;=8/24,C$9&lt;14/24)</formula>
    </cfRule>
    <cfRule type="expression" dxfId="4608" priority="293">
      <formula>C$9&lt;8/24</formula>
    </cfRule>
  </conditionalFormatting>
  <conditionalFormatting sqref="C49:D49">
    <cfRule type="expression" dxfId="4607" priority="271">
      <formula>C49&gt;$AG49</formula>
    </cfRule>
  </conditionalFormatting>
  <conditionalFormatting sqref="D75">
    <cfRule type="expression" dxfId="4606" priority="259">
      <formula>D$9&gt;=20/24</formula>
    </cfRule>
    <cfRule type="expression" dxfId="4605" priority="260">
      <formula>AND(D$9&gt;=14/24,D$9&lt;20/24)</formula>
    </cfRule>
    <cfRule type="expression" dxfId="4604" priority="261">
      <formula>AND(D$9&gt;=8/24,D$9&lt;14/24)</formula>
    </cfRule>
    <cfRule type="expression" dxfId="4603" priority="262">
      <formula>D$9&lt;8/24</formula>
    </cfRule>
  </conditionalFormatting>
  <conditionalFormatting sqref="C48:AF48">
    <cfRule type="expression" dxfId="4602" priority="254">
      <formula>C48&gt;$AG48</formula>
    </cfRule>
  </conditionalFormatting>
  <conditionalFormatting sqref="A11">
    <cfRule type="expression" dxfId="4601" priority="231">
      <formula>$AH11=0</formula>
    </cfRule>
  </conditionalFormatting>
  <conditionalFormatting sqref="A16">
    <cfRule type="expression" dxfId="4600" priority="219">
      <formula>$AH16=0</formula>
    </cfRule>
  </conditionalFormatting>
  <conditionalFormatting sqref="AL16">
    <cfRule type="iconSet" priority="220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4599" priority="207">
      <formula>$AH33=0</formula>
    </cfRule>
  </conditionalFormatting>
  <conditionalFormatting sqref="AL33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A44">
    <cfRule type="expression" dxfId="4598" priority="195">
      <formula>$AH44=0</formula>
    </cfRule>
  </conditionalFormatting>
  <conditionalFormatting sqref="AL44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D117:AF117">
    <cfRule type="expression" dxfId="4597" priority="181">
      <formula>D$9&gt;=20/24</formula>
    </cfRule>
    <cfRule type="expression" dxfId="4596" priority="182">
      <formula>AND(D$9&gt;=14/24,D$9&lt;20/24)</formula>
    </cfRule>
    <cfRule type="expression" dxfId="4595" priority="183">
      <formula>AND(D$9&gt;=8/24,D$9&lt;14/24)</formula>
    </cfRule>
    <cfRule type="expression" dxfId="4594" priority="184">
      <formula>D$9&lt;8/24</formula>
    </cfRule>
  </conditionalFormatting>
  <conditionalFormatting sqref="B109 B111:C116">
    <cfRule type="expression" dxfId="4593" priority="125">
      <formula>B$9&gt;=20/24</formula>
    </cfRule>
    <cfRule type="expression" dxfId="4592" priority="126">
      <formula>AND(B$9&gt;=14/24,B$9&lt;20/24)</formula>
    </cfRule>
    <cfRule type="expression" dxfId="4591" priority="127">
      <formula>AND(B$9&gt;=8/24,B$9&lt;14/24)</formula>
    </cfRule>
    <cfRule type="expression" dxfId="4590" priority="128">
      <formula>B$9&lt;8/24</formula>
    </cfRule>
  </conditionalFormatting>
  <conditionalFormatting sqref="B99">
    <cfRule type="expression" dxfId="4589" priority="121">
      <formula>B$9&gt;=20/24</formula>
    </cfRule>
    <cfRule type="expression" dxfId="4588" priority="122">
      <formula>AND(B$9&gt;=14/24,B$9&lt;20/24)</formula>
    </cfRule>
    <cfRule type="expression" dxfId="4587" priority="123">
      <formula>AND(B$9&gt;=8/24,B$9&lt;14/24)</formula>
    </cfRule>
    <cfRule type="expression" dxfId="4586" priority="124">
      <formula>B$9&lt;8/24</formula>
    </cfRule>
  </conditionalFormatting>
  <conditionalFormatting sqref="B71:C71 B54:F56">
    <cfRule type="expression" dxfId="4585" priority="117">
      <formula>B$9&gt;=20/24</formula>
    </cfRule>
    <cfRule type="expression" dxfId="4584" priority="118">
      <formula>AND(B$9&gt;=14/24,B$9&lt;20/24)</formula>
    </cfRule>
    <cfRule type="expression" dxfId="4583" priority="119">
      <formula>AND(B$9&gt;=8/24,B$9&lt;14/24)</formula>
    </cfRule>
    <cfRule type="expression" dxfId="4582" priority="120">
      <formula>B$9&lt;8/24</formula>
    </cfRule>
  </conditionalFormatting>
  <conditionalFormatting sqref="B53:F53">
    <cfRule type="expression" dxfId="4581" priority="113">
      <formula>B$9&gt;=20/24</formula>
    </cfRule>
    <cfRule type="expression" dxfId="4580" priority="114">
      <formula>AND(B$9&gt;=14/24,B$9&lt;20/24)</formula>
    </cfRule>
    <cfRule type="expression" dxfId="4579" priority="115">
      <formula>AND(B$9&gt;=8/24,B$9&lt;14/24)</formula>
    </cfRule>
    <cfRule type="expression" dxfId="4578" priority="116">
      <formula>B$9&lt;8/24</formula>
    </cfRule>
  </conditionalFormatting>
  <conditionalFormatting sqref="B53:F56">
    <cfRule type="expression" dxfId="4577" priority="112">
      <formula>B53&gt;$AG53</formula>
    </cfRule>
  </conditionalFormatting>
  <conditionalFormatting sqref="B96 B47 B86 B72:C74 B100:C106 B67:I69">
    <cfRule type="expression" dxfId="4576" priority="108">
      <formula>B$9&gt;=20/24</formula>
    </cfRule>
    <cfRule type="expression" dxfId="4575" priority="109">
      <formula>AND(B$9&gt;=14/24,B$9&lt;20/24)</formula>
    </cfRule>
    <cfRule type="expression" dxfId="4574" priority="110">
      <formula>AND(B$9&gt;=8/24,B$9&lt;14/24)</formula>
    </cfRule>
    <cfRule type="expression" dxfId="4573" priority="111">
      <formula>B$9&lt;8/24</formula>
    </cfRule>
  </conditionalFormatting>
  <conditionalFormatting sqref="B47 B67:I69">
    <cfRule type="expression" dxfId="4572" priority="107">
      <formula>B47&gt;$AG47</formula>
    </cfRule>
  </conditionalFormatting>
  <conditionalFormatting sqref="B57:G58 H58:O58">
    <cfRule type="expression" dxfId="4571" priority="103">
      <formula>B$9&gt;=20/24</formula>
    </cfRule>
    <cfRule type="expression" dxfId="4570" priority="104">
      <formula>AND(B$9&gt;=14/24,B$9&lt;20/24)</formula>
    </cfRule>
    <cfRule type="expression" dxfId="4569" priority="105">
      <formula>AND(B$9&gt;=8/24,B$9&lt;14/24)</formula>
    </cfRule>
    <cfRule type="expression" dxfId="4568" priority="106">
      <formula>B$9&lt;8/24</formula>
    </cfRule>
  </conditionalFormatting>
  <conditionalFormatting sqref="B57:G58 H58:O58">
    <cfRule type="expression" dxfId="4567" priority="102">
      <formula>B57&gt;$AG57</formula>
    </cfRule>
  </conditionalFormatting>
  <conditionalFormatting sqref="B97 B88">
    <cfRule type="expression" dxfId="4566" priority="98">
      <formula>B$9&gt;=20/24</formula>
    </cfRule>
    <cfRule type="expression" dxfId="4565" priority="99">
      <formula>AND(B$9&gt;=14/24,B$9&lt;20/24)</formula>
    </cfRule>
    <cfRule type="expression" dxfId="4564" priority="100">
      <formula>AND(B$9&gt;=8/24,B$9&lt;14/24)</formula>
    </cfRule>
    <cfRule type="expression" dxfId="4563" priority="101">
      <formula>B$9&lt;8/24</formula>
    </cfRule>
  </conditionalFormatting>
  <conditionalFormatting sqref="B91:B95">
    <cfRule type="expression" dxfId="4562" priority="94">
      <formula>B$9&gt;=20/24</formula>
    </cfRule>
    <cfRule type="expression" dxfId="4561" priority="95">
      <formula>AND(B$9&gt;=14/24,B$9&lt;20/24)</formula>
    </cfRule>
    <cfRule type="expression" dxfId="4560" priority="96">
      <formula>AND(B$9&gt;=8/24,B$9&lt;14/24)</formula>
    </cfRule>
    <cfRule type="expression" dxfId="4559" priority="97">
      <formula>B$9&lt;8/24</formula>
    </cfRule>
  </conditionalFormatting>
  <conditionalFormatting sqref="B49:B51 C50:G51">
    <cfRule type="expression" dxfId="4558" priority="90">
      <formula>B$9&gt;=20/24</formula>
    </cfRule>
    <cfRule type="expression" dxfId="4557" priority="91">
      <formula>AND(B$9&gt;=14/24,B$9&lt;20/24)</formula>
    </cfRule>
    <cfRule type="expression" dxfId="4556" priority="92">
      <formula>AND(B$9&gt;=8/24,B$9&lt;14/24)</formula>
    </cfRule>
    <cfRule type="expression" dxfId="4555" priority="93">
      <formula>B$9&lt;8/24</formula>
    </cfRule>
  </conditionalFormatting>
  <conditionalFormatting sqref="B49:B51 C50:G51">
    <cfRule type="expression" dxfId="4554" priority="89">
      <formula>B49&gt;$AG49</formula>
    </cfRule>
  </conditionalFormatting>
  <conditionalFormatting sqref="B107">
    <cfRule type="expression" dxfId="4553" priority="85">
      <formula>B$9&gt;=20/24</formula>
    </cfRule>
    <cfRule type="expression" dxfId="4552" priority="86">
      <formula>AND(B$9&gt;=14/24,B$9&lt;20/24)</formula>
    </cfRule>
    <cfRule type="expression" dxfId="4551" priority="87">
      <formula>AND(B$9&gt;=8/24,B$9&lt;14/24)</formula>
    </cfRule>
    <cfRule type="expression" dxfId="4550" priority="88">
      <formula>B$9&lt;8/24</formula>
    </cfRule>
  </conditionalFormatting>
  <conditionalFormatting sqref="B110">
    <cfRule type="expression" dxfId="4549" priority="81">
      <formula>B$9&gt;=20/24</formula>
    </cfRule>
    <cfRule type="expression" dxfId="4548" priority="82">
      <formula>AND(B$9&gt;=14/24,B$9&lt;20/24)</formula>
    </cfRule>
    <cfRule type="expression" dxfId="4547" priority="83">
      <formula>AND(B$9&gt;=8/24,B$9&lt;14/24)</formula>
    </cfRule>
    <cfRule type="expression" dxfId="4546" priority="84">
      <formula>B$9&lt;8/24</formula>
    </cfRule>
  </conditionalFormatting>
  <conditionalFormatting sqref="B34:AF43 B17:AF32">
    <cfRule type="expression" dxfId="4545" priority="77">
      <formula>B$9&gt;=20/24</formula>
    </cfRule>
    <cfRule type="expression" dxfId="4544" priority="78">
      <formula>AND(B$9&gt;=14/24,B$9&lt;20/24)</formula>
    </cfRule>
    <cfRule type="expression" dxfId="4543" priority="79">
      <formula>AND(B$9&gt;=8/24,B$9&lt;14/24)</formula>
    </cfRule>
    <cfRule type="expression" dxfId="4542" priority="80">
      <formula>B$9&lt;8/24</formula>
    </cfRule>
  </conditionalFormatting>
  <conditionalFormatting sqref="B34:AF43 B17:AF32">
    <cfRule type="expression" dxfId="4541" priority="76">
      <formula>B17&gt;$AG17</formula>
    </cfRule>
  </conditionalFormatting>
  <conditionalFormatting sqref="B83:B85 B75:C76 D76:O76">
    <cfRule type="expression" dxfId="4540" priority="72">
      <formula>B$9&gt;=20/24</formula>
    </cfRule>
    <cfRule type="expression" dxfId="4539" priority="73">
      <formula>AND(B$9&gt;=14/24,B$9&lt;20/24)</formula>
    </cfRule>
    <cfRule type="expression" dxfId="4538" priority="74">
      <formula>AND(B$9&gt;=8/24,B$9&lt;14/24)</formula>
    </cfRule>
    <cfRule type="expression" dxfId="4537" priority="75">
      <formula>B$9&lt;8/24</formula>
    </cfRule>
  </conditionalFormatting>
  <conditionalFormatting sqref="B87 B89 B98 B70:L70">
    <cfRule type="expression" dxfId="4536" priority="68">
      <formula>B$9&gt;=20/24</formula>
    </cfRule>
    <cfRule type="expression" dxfId="4535" priority="69">
      <formula>AND(B$9&gt;=14/24,B$9&lt;20/24)</formula>
    </cfRule>
    <cfRule type="expression" dxfId="4534" priority="70">
      <formula>AND(B$9&gt;=8/24,B$9&lt;14/24)</formula>
    </cfRule>
    <cfRule type="expression" dxfId="4533" priority="71">
      <formula>B$9&lt;8/24</formula>
    </cfRule>
  </conditionalFormatting>
  <conditionalFormatting sqref="B65:B66 B70:L70">
    <cfRule type="expression" dxfId="4532" priority="67">
      <formula>B65&gt;$AG65</formula>
    </cfRule>
  </conditionalFormatting>
  <conditionalFormatting sqref="B82">
    <cfRule type="expression" dxfId="4531" priority="63">
      <formula>B$9&gt;=20/24</formula>
    </cfRule>
    <cfRule type="expression" dxfId="4530" priority="64">
      <formula>AND(B$9&gt;=14/24,B$9&lt;20/24)</formula>
    </cfRule>
    <cfRule type="expression" dxfId="4529" priority="65">
      <formula>AND(B$9&gt;=8/24,B$9&lt;14/24)</formula>
    </cfRule>
    <cfRule type="expression" dxfId="4528" priority="66">
      <formula>B$9&lt;8/24</formula>
    </cfRule>
  </conditionalFormatting>
  <conditionalFormatting sqref="B52">
    <cfRule type="expression" dxfId="4527" priority="59">
      <formula>B$9&gt;=20/24</formula>
    </cfRule>
    <cfRule type="expression" dxfId="4526" priority="60">
      <formula>AND(B$9&gt;=14/24,B$9&lt;20/24)</formula>
    </cfRule>
    <cfRule type="expression" dxfId="4525" priority="61">
      <formula>AND(B$9&gt;=8/24,B$9&lt;14/24)</formula>
    </cfRule>
    <cfRule type="expression" dxfId="4524" priority="62">
      <formula>B$9&lt;8/24</formula>
    </cfRule>
  </conditionalFormatting>
  <conditionalFormatting sqref="B52">
    <cfRule type="expression" dxfId="4523" priority="58">
      <formula>B52&gt;$AG52</formula>
    </cfRule>
  </conditionalFormatting>
  <conditionalFormatting sqref="B59:O64">
    <cfRule type="expression" dxfId="4522" priority="50">
      <formula>B$9&gt;=20/24</formula>
    </cfRule>
    <cfRule type="expression" dxfId="4521" priority="51">
      <formula>AND(B$9&gt;=14/24,B$9&lt;20/24)</formula>
    </cfRule>
    <cfRule type="expression" dxfId="4520" priority="52">
      <formula>AND(B$9&gt;=8/24,B$9&lt;14/24)</formula>
    </cfRule>
    <cfRule type="expression" dxfId="4519" priority="53">
      <formula>B$9&lt;8/24</formula>
    </cfRule>
  </conditionalFormatting>
  <conditionalFormatting sqref="B59:O64">
    <cfRule type="expression" dxfId="4518" priority="49">
      <formula>B59&gt;$AG59</formula>
    </cfRule>
  </conditionalFormatting>
  <conditionalFormatting sqref="B45:AF45 B13:AF15">
    <cfRule type="expression" dxfId="4517" priority="48">
      <formula>B13&gt;$AG13</formula>
    </cfRule>
  </conditionalFormatting>
  <conditionalFormatting sqref="B12:AF12">
    <cfRule type="expression" dxfId="4516" priority="44">
      <formula>B$9&gt;=20/24</formula>
    </cfRule>
    <cfRule type="expression" dxfId="4515" priority="45">
      <formula>AND(B$9&gt;=14/24,B$9&lt;20/24)</formula>
    </cfRule>
    <cfRule type="expression" dxfId="4514" priority="46">
      <formula>AND(B$9&gt;=8/24,B$9&lt;14/24)</formula>
    </cfRule>
    <cfRule type="expression" dxfId="4513" priority="47">
      <formula>B$9&lt;8/24</formula>
    </cfRule>
  </conditionalFormatting>
  <conditionalFormatting sqref="B12:AF12">
    <cfRule type="expression" dxfId="4512" priority="43">
      <formula>B12&gt;$AG12</formula>
    </cfRule>
  </conditionalFormatting>
  <conditionalFormatting sqref="B13:AF15">
    <cfRule type="expression" dxfId="4511" priority="39">
      <formula>B$9&gt;=20/24</formula>
    </cfRule>
    <cfRule type="expression" dxfId="4510" priority="40">
      <formula>AND(B$9&gt;=14/24,B$9&lt;20/24)</formula>
    </cfRule>
    <cfRule type="expression" dxfId="4509" priority="41">
      <formula>AND(B$9&gt;=8/24,B$9&lt;14/24)</formula>
    </cfRule>
    <cfRule type="expression" dxfId="4508" priority="42">
      <formula>B$9&lt;8/24</formula>
    </cfRule>
  </conditionalFormatting>
  <conditionalFormatting sqref="B45:AF45">
    <cfRule type="expression" dxfId="4507" priority="35">
      <formula>B$9&gt;=20/24</formula>
    </cfRule>
    <cfRule type="expression" dxfId="4506" priority="36">
      <formula>AND(B$9&gt;=14/24,B$9&lt;20/24)</formula>
    </cfRule>
    <cfRule type="expression" dxfId="4505" priority="37">
      <formula>AND(B$9&gt;=8/24,B$9&lt;14/24)</formula>
    </cfRule>
    <cfRule type="expression" dxfId="4504" priority="38">
      <formula>B$9&lt;8/24</formula>
    </cfRule>
  </conditionalFormatting>
  <conditionalFormatting sqref="B77:O81">
    <cfRule type="expression" dxfId="4503" priority="31">
      <formula>B$9&gt;=20/24</formula>
    </cfRule>
    <cfRule type="expression" dxfId="4502" priority="32">
      <formula>AND(B$9&gt;=14/24,B$9&lt;20/24)</formula>
    </cfRule>
    <cfRule type="expression" dxfId="4501" priority="33">
      <formula>AND(B$9&gt;=8/24,B$9&lt;14/24)</formula>
    </cfRule>
    <cfRule type="expression" dxfId="4500" priority="34">
      <formula>B$9&lt;8/24</formula>
    </cfRule>
  </conditionalFormatting>
  <conditionalFormatting sqref="B46:AF46">
    <cfRule type="expression" dxfId="4499" priority="27">
      <formula>B$9&gt;=20/24</formula>
    </cfRule>
    <cfRule type="expression" dxfId="4498" priority="28">
      <formula>AND(B$9&gt;=14/24,B$9&lt;20/24)</formula>
    </cfRule>
    <cfRule type="expression" dxfId="4497" priority="29">
      <formula>AND(B$9&gt;=8/24,B$9&lt;14/24)</formula>
    </cfRule>
    <cfRule type="expression" dxfId="4496" priority="30">
      <formula>B$9&lt;8/24</formula>
    </cfRule>
  </conditionalFormatting>
  <conditionalFormatting sqref="B46:AF46">
    <cfRule type="expression" dxfId="4495" priority="26">
      <formula>B46&gt;$AG46</formula>
    </cfRule>
  </conditionalFormatting>
  <conditionalFormatting sqref="B48">
    <cfRule type="expression" dxfId="4494" priority="25">
      <formula>B48&gt;$AG48</formula>
    </cfRule>
  </conditionalFormatting>
  <conditionalFormatting sqref="B11:AF11">
    <cfRule type="expression" dxfId="4493" priority="21">
      <formula>B$9&gt;=20/24</formula>
    </cfRule>
    <cfRule type="expression" dxfId="4492" priority="22">
      <formula>AND(B$9&gt;=14/24,B$9&lt;20/24)</formula>
    </cfRule>
    <cfRule type="expression" dxfId="4491" priority="23">
      <formula>AND(B$9&gt;=8/24,B$9&lt;14/24)</formula>
    </cfRule>
    <cfRule type="expression" dxfId="4490" priority="24">
      <formula>B$9&lt;8/24</formula>
    </cfRule>
  </conditionalFormatting>
  <conditionalFormatting sqref="B11:AF11">
    <cfRule type="expression" dxfId="4489" priority="20">
      <formula>B11&gt;$AG11</formula>
    </cfRule>
  </conditionalFormatting>
  <conditionalFormatting sqref="B16:AF16">
    <cfRule type="expression" dxfId="4488" priority="16">
      <formula>B$9&gt;=20/24</formula>
    </cfRule>
    <cfRule type="expression" dxfId="4487" priority="17">
      <formula>AND(B$9&gt;=14/24,B$9&lt;20/24)</formula>
    </cfRule>
    <cfRule type="expression" dxfId="4486" priority="18">
      <formula>AND(B$9&gt;=8/24,B$9&lt;14/24)</formula>
    </cfRule>
    <cfRule type="expression" dxfId="4485" priority="19">
      <formula>B$9&lt;8/24</formula>
    </cfRule>
  </conditionalFormatting>
  <conditionalFormatting sqref="B16:AF16">
    <cfRule type="expression" dxfId="4484" priority="15">
      <formula>B16&gt;$AG16</formula>
    </cfRule>
  </conditionalFormatting>
  <conditionalFormatting sqref="B33:AF33">
    <cfRule type="expression" dxfId="4483" priority="11">
      <formula>B$9&gt;=20/24</formula>
    </cfRule>
    <cfRule type="expression" dxfId="4482" priority="12">
      <formula>AND(B$9&gt;=14/24,B$9&lt;20/24)</formula>
    </cfRule>
    <cfRule type="expression" dxfId="4481" priority="13">
      <formula>AND(B$9&gt;=8/24,B$9&lt;14/24)</formula>
    </cfRule>
    <cfRule type="expression" dxfId="4480" priority="14">
      <formula>B$9&lt;8/24</formula>
    </cfRule>
  </conditionalFormatting>
  <conditionalFormatting sqref="B33:AF33">
    <cfRule type="expression" dxfId="4479" priority="10">
      <formula>B33&gt;$AG33</formula>
    </cfRule>
  </conditionalFormatting>
  <conditionalFormatting sqref="B44:AF44">
    <cfRule type="expression" dxfId="4478" priority="9">
      <formula>B44&gt;$AG44</formula>
    </cfRule>
  </conditionalFormatting>
  <conditionalFormatting sqref="B44:AF44">
    <cfRule type="expression" dxfId="4477" priority="5">
      <formula>B$9&gt;=20/24</formula>
    </cfRule>
    <cfRule type="expression" dxfId="4476" priority="6">
      <formula>AND(B$9&gt;=14/24,B$9&lt;20/24)</formula>
    </cfRule>
    <cfRule type="expression" dxfId="4475" priority="7">
      <formula>AND(B$9&gt;=8/24,B$9&lt;14/24)</formula>
    </cfRule>
    <cfRule type="expression" dxfId="4474" priority="8">
      <formula>B$9&lt;8/24</formula>
    </cfRule>
  </conditionalFormatting>
  <conditionalFormatting sqref="B117:C117">
    <cfRule type="expression" dxfId="4473" priority="1">
      <formula>B$9&gt;=20/24</formula>
    </cfRule>
    <cfRule type="expression" dxfId="4472" priority="2">
      <formula>AND(B$9&gt;=14/24,B$9&lt;20/24)</formula>
    </cfRule>
    <cfRule type="expression" dxfId="4471" priority="3">
      <formula>AND(B$9&gt;=8/24,B$9&lt;14/24)</formula>
    </cfRule>
    <cfRule type="expression" dxfId="4470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53" id="{25F3F58E-DEBB-440D-8821-4F556093478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54" id="{13162471-808D-4600-99DB-EC01DE053B1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55" id="{16FECB09-742B-4655-B46C-78D2DD43A90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56" id="{5997026E-2C41-4D7B-82C5-9DA5448DC1F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54" id="{CFCDE0B8-46E4-4CEC-810B-2062BC6396A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5" id="{252077F9-3FDC-410D-917C-0E28421A9D6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6" id="{A86AA4A0-E1B9-4EA2-BE6E-FA28AB22A78A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7" id="{956B8DF6-32EC-4537-87F6-7105DA4413A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Normal="100" workbookViewId="0">
      <pane ySplit="10" topLeftCell="A65" activePane="bottomLeft" state="frozen"/>
      <selection activeCell="Z85" sqref="Z85"/>
      <selection pane="bottomLeft" activeCell="L88" sqref="L88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2079/12/16</v>
      </c>
      <c r="C4" s="236"/>
      <c r="D4" s="236"/>
      <c r="E4" s="237" t="str">
        <f ca="1">"2079/"&amp;"12/"&amp;INT(MID(CELL("filename",G6),FIND("]",CELL("filename",G6))+1,200))</f>
        <v>2079/12/16</v>
      </c>
      <c r="F4" s="237"/>
      <c r="G4" s="237"/>
      <c r="H4" s="237" t="str">
        <f ca="1">TEXT(E4,"dddd")</f>
        <v>Saturday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616.19999999999993</v>
      </c>
      <c r="C5" s="33">
        <f t="shared" si="0"/>
        <v>615.5</v>
      </c>
      <c r="D5" s="33">
        <f t="shared" si="0"/>
        <v>610.5</v>
      </c>
      <c r="E5" s="33">
        <f t="shared" si="0"/>
        <v>584.5</v>
      </c>
      <c r="F5" s="33">
        <f t="shared" si="0"/>
        <v>574.5</v>
      </c>
      <c r="G5" s="33">
        <f t="shared" si="0"/>
        <v>542.5</v>
      </c>
      <c r="H5" s="33">
        <f t="shared" si="0"/>
        <v>563.1</v>
      </c>
      <c r="I5" s="33">
        <f t="shared" si="0"/>
        <v>553.5</v>
      </c>
      <c r="J5" s="33">
        <f t="shared" si="0"/>
        <v>553.5</v>
      </c>
      <c r="K5" s="33">
        <f t="shared" si="0"/>
        <v>583.5</v>
      </c>
      <c r="L5" s="33">
        <f t="shared" si="0"/>
        <v>578.00000000000011</v>
      </c>
      <c r="M5" s="33">
        <f t="shared" si="0"/>
        <v>549.80000000000007</v>
      </c>
      <c r="N5" s="33">
        <f t="shared" si="0"/>
        <v>535.5</v>
      </c>
      <c r="O5" s="33">
        <f t="shared" si="0"/>
        <v>546</v>
      </c>
      <c r="P5" s="33">
        <f t="shared" si="0"/>
        <v>557.5</v>
      </c>
      <c r="Q5" s="33">
        <f t="shared" si="0"/>
        <v>557.5</v>
      </c>
      <c r="R5" s="33">
        <f t="shared" si="0"/>
        <v>577.20000000000005</v>
      </c>
      <c r="S5" s="33">
        <f t="shared" si="0"/>
        <v>574.50000000000011</v>
      </c>
      <c r="T5" s="33">
        <f t="shared" si="0"/>
        <v>582.9</v>
      </c>
      <c r="U5" s="33">
        <f t="shared" si="0"/>
        <v>576.5</v>
      </c>
      <c r="V5" s="33">
        <f t="shared" si="0"/>
        <v>567.5</v>
      </c>
      <c r="W5" s="33">
        <f t="shared" si="0"/>
        <v>488</v>
      </c>
      <c r="X5" s="33">
        <f t="shared" si="0"/>
        <v>464</v>
      </c>
      <c r="Y5" s="33">
        <f t="shared" si="0"/>
        <v>537.90000000000009</v>
      </c>
      <c r="Z5" s="33">
        <f t="shared" si="0"/>
        <v>474.7</v>
      </c>
      <c r="AA5" s="33">
        <f t="shared" si="0"/>
        <v>443</v>
      </c>
      <c r="AB5" s="33">
        <f t="shared" si="0"/>
        <v>444</v>
      </c>
      <c r="AC5" s="33">
        <f t="shared" si="0"/>
        <v>444</v>
      </c>
      <c r="AD5" s="33">
        <f t="shared" si="0"/>
        <v>428</v>
      </c>
      <c r="AE5" s="33">
        <f t="shared" si="0"/>
        <v>463</v>
      </c>
      <c r="AF5" s="33">
        <f>B82</f>
        <v>654.19999999999993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1461MW at 8:00hr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Load=1162</v>
      </c>
      <c r="B7" s="38">
        <f t="shared" ref="B7:AF7" si="1">B89</f>
        <v>1369.6399999999999</v>
      </c>
      <c r="C7" s="38">
        <f t="shared" si="1"/>
        <v>1226.3399999999999</v>
      </c>
      <c r="D7" s="38">
        <f t="shared" si="1"/>
        <v>1216.04</v>
      </c>
      <c r="E7" s="38">
        <f t="shared" si="1"/>
        <v>1211.04</v>
      </c>
      <c r="F7" s="38">
        <f t="shared" si="1"/>
        <v>1209.24</v>
      </c>
      <c r="G7" s="38">
        <f t="shared" si="1"/>
        <v>1229.6399999999999</v>
      </c>
      <c r="H7" s="38">
        <f t="shared" si="1"/>
        <v>1189.6399999999999</v>
      </c>
      <c r="I7" s="38">
        <f t="shared" si="1"/>
        <v>1190.24</v>
      </c>
      <c r="J7" s="38">
        <f t="shared" si="1"/>
        <v>1169.24</v>
      </c>
      <c r="K7" s="38">
        <f t="shared" si="1"/>
        <v>1161.6399999999999</v>
      </c>
      <c r="L7" s="38">
        <f t="shared" si="1"/>
        <v>1302.6399999999999</v>
      </c>
      <c r="M7" s="38">
        <f t="shared" si="1"/>
        <v>1461.1399999999999</v>
      </c>
      <c r="N7" s="38">
        <f>N89</f>
        <v>1443.8600000000001</v>
      </c>
      <c r="O7" s="38">
        <f t="shared" si="1"/>
        <v>1425.7599999999998</v>
      </c>
      <c r="P7" s="38">
        <f t="shared" si="1"/>
        <v>1465.1599999999999</v>
      </c>
      <c r="Q7" s="38">
        <f t="shared" si="1"/>
        <v>1404.26</v>
      </c>
      <c r="R7" s="38">
        <f t="shared" si="1"/>
        <v>1396.6599999999999</v>
      </c>
      <c r="S7" s="38">
        <f t="shared" si="1"/>
        <v>1430.96</v>
      </c>
      <c r="T7" s="38">
        <f t="shared" si="1"/>
        <v>1363.6599999999999</v>
      </c>
      <c r="U7" s="38">
        <f t="shared" si="1"/>
        <v>1385.86</v>
      </c>
      <c r="V7" s="38">
        <f t="shared" si="1"/>
        <v>1353.9399999999998</v>
      </c>
      <c r="W7" s="38">
        <f t="shared" si="1"/>
        <v>1359.34</v>
      </c>
      <c r="X7" s="38">
        <f t="shared" si="1"/>
        <v>1322.1399999999999</v>
      </c>
      <c r="Y7" s="38">
        <f t="shared" si="1"/>
        <v>1412.2399999999998</v>
      </c>
      <c r="Z7" s="38">
        <f t="shared" si="1"/>
        <v>1492.04</v>
      </c>
      <c r="AA7" s="38">
        <f t="shared" si="1"/>
        <v>1531.14</v>
      </c>
      <c r="AB7" s="38">
        <f t="shared" si="1"/>
        <v>1467.1399999999999</v>
      </c>
      <c r="AC7" s="38">
        <f t="shared" si="1"/>
        <v>1428.1399999999999</v>
      </c>
      <c r="AD7" s="38">
        <f t="shared" si="1"/>
        <v>1379.1399999999999</v>
      </c>
      <c r="AE7" s="38">
        <f t="shared" si="1"/>
        <v>1331.1399999999999</v>
      </c>
      <c r="AF7" s="38">
        <f t="shared" si="1"/>
        <v>1300.1399999999999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23</v>
      </c>
      <c r="C11" s="50">
        <v>23</v>
      </c>
      <c r="D11" s="50">
        <v>23</v>
      </c>
      <c r="E11" s="50">
        <v>23</v>
      </c>
      <c r="F11" s="50">
        <v>23</v>
      </c>
      <c r="G11" s="50">
        <v>23</v>
      </c>
      <c r="H11" s="50">
        <v>23</v>
      </c>
      <c r="I11" s="50">
        <v>23</v>
      </c>
      <c r="J11" s="50">
        <v>23</v>
      </c>
      <c r="K11" s="50">
        <v>23</v>
      </c>
      <c r="L11" s="50">
        <v>23</v>
      </c>
      <c r="M11" s="50">
        <v>27</v>
      </c>
      <c r="N11" s="50">
        <v>27</v>
      </c>
      <c r="O11" s="50">
        <v>27</v>
      </c>
      <c r="P11" s="50">
        <v>27</v>
      </c>
      <c r="Q11" s="50">
        <v>27</v>
      </c>
      <c r="R11" s="50">
        <v>27</v>
      </c>
      <c r="S11" s="50">
        <v>27</v>
      </c>
      <c r="T11" s="50">
        <v>27</v>
      </c>
      <c r="U11" s="50">
        <v>27</v>
      </c>
      <c r="V11" s="50">
        <v>27</v>
      </c>
      <c r="W11" s="50">
        <v>27</v>
      </c>
      <c r="X11" s="50">
        <v>27</v>
      </c>
      <c r="Y11" s="50">
        <v>27</v>
      </c>
      <c r="Z11" s="50">
        <v>27</v>
      </c>
      <c r="AA11" s="50">
        <v>27</v>
      </c>
      <c r="AB11" s="50">
        <v>27</v>
      </c>
      <c r="AC11" s="50">
        <v>27</v>
      </c>
      <c r="AD11" s="50">
        <v>27</v>
      </c>
      <c r="AE11" s="50">
        <v>27</v>
      </c>
      <c r="AF11" s="50">
        <v>27</v>
      </c>
      <c r="AG11" s="51">
        <v>86</v>
      </c>
      <c r="AH11" s="52">
        <f t="shared" ref="AH11:AH74" si="2">MAX(B11:AF11)</f>
        <v>27</v>
      </c>
      <c r="AI11" s="53">
        <f t="shared" ref="AI11:AI74" si="3">MIN(B11:AF11)</f>
        <v>23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16</v>
      </c>
      <c r="C12" s="50">
        <v>16</v>
      </c>
      <c r="D12" s="50">
        <v>16</v>
      </c>
      <c r="E12" s="50">
        <v>16</v>
      </c>
      <c r="F12" s="50">
        <v>16</v>
      </c>
      <c r="G12" s="50">
        <v>16</v>
      </c>
      <c r="H12" s="50">
        <v>16</v>
      </c>
      <c r="I12" s="50">
        <v>16</v>
      </c>
      <c r="J12" s="50">
        <v>16</v>
      </c>
      <c r="K12" s="50">
        <v>16</v>
      </c>
      <c r="L12" s="50">
        <v>16</v>
      </c>
      <c r="M12" s="50">
        <v>15.7</v>
      </c>
      <c r="N12" s="50">
        <v>15.7</v>
      </c>
      <c r="O12" s="50">
        <v>15.7</v>
      </c>
      <c r="P12" s="50">
        <v>15.7</v>
      </c>
      <c r="Q12" s="50">
        <v>15.7</v>
      </c>
      <c r="R12" s="50">
        <v>15.7</v>
      </c>
      <c r="S12" s="50">
        <v>15.7</v>
      </c>
      <c r="T12" s="50">
        <v>15.7</v>
      </c>
      <c r="U12" s="50">
        <v>15.7</v>
      </c>
      <c r="V12" s="50">
        <v>15.7</v>
      </c>
      <c r="W12" s="50">
        <v>15.7</v>
      </c>
      <c r="X12" s="50">
        <v>15.7</v>
      </c>
      <c r="Y12" s="50">
        <v>15.7</v>
      </c>
      <c r="Z12" s="50">
        <v>15.7</v>
      </c>
      <c r="AA12" s="50">
        <v>15.7</v>
      </c>
      <c r="AB12" s="50">
        <v>15.7</v>
      </c>
      <c r="AC12" s="50">
        <v>15.7</v>
      </c>
      <c r="AD12" s="50">
        <v>15.7</v>
      </c>
      <c r="AE12" s="50">
        <v>15.7</v>
      </c>
      <c r="AF12" s="50">
        <v>15.7</v>
      </c>
      <c r="AG12" s="51">
        <v>52.4</v>
      </c>
      <c r="AH12" s="52">
        <f t="shared" si="2"/>
        <v>16</v>
      </c>
      <c r="AI12" s="53">
        <f t="shared" si="3"/>
        <v>15.7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33.1</v>
      </c>
      <c r="C13" s="50">
        <v>33.1</v>
      </c>
      <c r="D13" s="50">
        <v>33.1</v>
      </c>
      <c r="E13" s="50">
        <v>33.1</v>
      </c>
      <c r="F13" s="50">
        <v>33.1</v>
      </c>
      <c r="G13" s="50">
        <v>33.1</v>
      </c>
      <c r="H13" s="50">
        <v>33.1</v>
      </c>
      <c r="I13" s="50">
        <v>33.1</v>
      </c>
      <c r="J13" s="50">
        <v>33.1</v>
      </c>
      <c r="K13" s="50">
        <v>33.1</v>
      </c>
      <c r="L13" s="50">
        <v>33.1</v>
      </c>
      <c r="M13" s="50">
        <v>33.9</v>
      </c>
      <c r="N13" s="50">
        <v>33.9</v>
      </c>
      <c r="O13" s="50">
        <v>33.9</v>
      </c>
      <c r="P13" s="50">
        <v>33.9</v>
      </c>
      <c r="Q13" s="50">
        <v>33.9</v>
      </c>
      <c r="R13" s="50">
        <v>33.9</v>
      </c>
      <c r="S13" s="50">
        <v>33.9</v>
      </c>
      <c r="T13" s="50">
        <v>33.9</v>
      </c>
      <c r="U13" s="50">
        <v>33.9</v>
      </c>
      <c r="V13" s="50">
        <v>33.9</v>
      </c>
      <c r="W13" s="50">
        <v>33.9</v>
      </c>
      <c r="X13" s="50">
        <v>33.9</v>
      </c>
      <c r="Y13" s="50">
        <v>33.9</v>
      </c>
      <c r="Z13" s="50">
        <v>33.9</v>
      </c>
      <c r="AA13" s="50">
        <v>33.9</v>
      </c>
      <c r="AB13" s="50">
        <v>33.9</v>
      </c>
      <c r="AC13" s="50">
        <v>33.9</v>
      </c>
      <c r="AD13" s="50">
        <v>33.9</v>
      </c>
      <c r="AE13" s="50">
        <v>33.9</v>
      </c>
      <c r="AF13" s="50">
        <v>33.9</v>
      </c>
      <c r="AG13" s="55">
        <v>50</v>
      </c>
      <c r="AH13" s="52">
        <f t="shared" si="2"/>
        <v>33.9</v>
      </c>
      <c r="AI13" s="53">
        <f t="shared" si="3"/>
        <v>33.1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15</v>
      </c>
      <c r="C14" s="50">
        <v>15</v>
      </c>
      <c r="D14" s="50">
        <v>15</v>
      </c>
      <c r="E14" s="50">
        <v>15</v>
      </c>
      <c r="F14" s="50">
        <v>15</v>
      </c>
      <c r="G14" s="50">
        <v>15</v>
      </c>
      <c r="H14" s="50">
        <v>15</v>
      </c>
      <c r="I14" s="50">
        <v>15</v>
      </c>
      <c r="J14" s="50">
        <v>15</v>
      </c>
      <c r="K14" s="50">
        <v>15</v>
      </c>
      <c r="L14" s="50">
        <v>15</v>
      </c>
      <c r="M14" s="50">
        <v>16.8</v>
      </c>
      <c r="N14" s="50">
        <v>17.100000000000001</v>
      </c>
      <c r="O14" s="50">
        <v>17.100000000000001</v>
      </c>
      <c r="P14" s="50">
        <v>17.100000000000001</v>
      </c>
      <c r="Q14" s="50">
        <v>17.100000000000001</v>
      </c>
      <c r="R14" s="50">
        <v>17.100000000000001</v>
      </c>
      <c r="S14" s="50">
        <v>17.100000000000001</v>
      </c>
      <c r="T14" s="50">
        <v>17.100000000000001</v>
      </c>
      <c r="U14" s="50">
        <v>17.100000000000001</v>
      </c>
      <c r="V14" s="50">
        <v>17.100000000000001</v>
      </c>
      <c r="W14" s="50">
        <v>17.100000000000001</v>
      </c>
      <c r="X14" s="50">
        <v>17.100000000000001</v>
      </c>
      <c r="Y14" s="50">
        <v>17.100000000000001</v>
      </c>
      <c r="Z14" s="50">
        <v>17.100000000000001</v>
      </c>
      <c r="AA14" s="50">
        <v>17.100000000000001</v>
      </c>
      <c r="AB14" s="50">
        <v>17.100000000000001</v>
      </c>
      <c r="AC14" s="50">
        <v>17.100000000000001</v>
      </c>
      <c r="AD14" s="50">
        <v>17.100000000000001</v>
      </c>
      <c r="AE14" s="50">
        <v>17.100000000000001</v>
      </c>
      <c r="AF14" s="50">
        <v>17.100000000000001</v>
      </c>
      <c r="AG14" s="55">
        <v>45</v>
      </c>
      <c r="AH14" s="52">
        <f t="shared" si="2"/>
        <v>17.100000000000001</v>
      </c>
      <c r="AI14" s="53">
        <f t="shared" si="3"/>
        <v>15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12</v>
      </c>
      <c r="C15" s="50">
        <v>12</v>
      </c>
      <c r="D15" s="50">
        <v>12</v>
      </c>
      <c r="E15" s="50">
        <v>12</v>
      </c>
      <c r="F15" s="50">
        <v>12</v>
      </c>
      <c r="G15" s="50">
        <v>12</v>
      </c>
      <c r="H15" s="50">
        <v>12</v>
      </c>
      <c r="I15" s="50">
        <v>12</v>
      </c>
      <c r="J15" s="50">
        <v>12</v>
      </c>
      <c r="K15" s="50">
        <v>12</v>
      </c>
      <c r="L15" s="50">
        <v>12</v>
      </c>
      <c r="M15" s="50">
        <v>13</v>
      </c>
      <c r="N15" s="50">
        <v>13</v>
      </c>
      <c r="O15" s="50">
        <v>13</v>
      </c>
      <c r="P15" s="50">
        <v>13</v>
      </c>
      <c r="Q15" s="50">
        <v>13</v>
      </c>
      <c r="R15" s="50">
        <v>13</v>
      </c>
      <c r="S15" s="50">
        <v>13</v>
      </c>
      <c r="T15" s="50">
        <v>13</v>
      </c>
      <c r="U15" s="50">
        <v>13</v>
      </c>
      <c r="V15" s="50">
        <v>13</v>
      </c>
      <c r="W15" s="50">
        <v>13</v>
      </c>
      <c r="X15" s="50">
        <v>13</v>
      </c>
      <c r="Y15" s="50">
        <v>13</v>
      </c>
      <c r="Z15" s="50">
        <v>13</v>
      </c>
      <c r="AA15" s="50">
        <v>22</v>
      </c>
      <c r="AB15" s="50">
        <v>22</v>
      </c>
      <c r="AC15" s="50">
        <v>22</v>
      </c>
      <c r="AD15" s="50">
        <v>22</v>
      </c>
      <c r="AE15" s="50">
        <v>22</v>
      </c>
      <c r="AF15" s="50">
        <v>22</v>
      </c>
      <c r="AG15" s="55">
        <v>42</v>
      </c>
      <c r="AH15" s="52">
        <f t="shared" si="2"/>
        <v>22</v>
      </c>
      <c r="AI15" s="53">
        <f t="shared" si="3"/>
        <v>12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14</v>
      </c>
      <c r="C16" s="50">
        <v>14</v>
      </c>
      <c r="D16" s="50">
        <v>14</v>
      </c>
      <c r="E16" s="50">
        <v>14</v>
      </c>
      <c r="F16" s="50">
        <v>14</v>
      </c>
      <c r="G16" s="50">
        <v>14</v>
      </c>
      <c r="H16" s="50">
        <v>14</v>
      </c>
      <c r="I16" s="50">
        <v>14</v>
      </c>
      <c r="J16" s="50">
        <v>14</v>
      </c>
      <c r="K16" s="50">
        <v>14</v>
      </c>
      <c r="L16" s="50">
        <v>14</v>
      </c>
      <c r="M16" s="50">
        <v>14</v>
      </c>
      <c r="N16" s="50">
        <v>14</v>
      </c>
      <c r="O16" s="50">
        <v>14</v>
      </c>
      <c r="P16" s="50">
        <v>14</v>
      </c>
      <c r="Q16" s="50">
        <v>14</v>
      </c>
      <c r="R16" s="50">
        <v>14</v>
      </c>
      <c r="S16" s="50">
        <v>14</v>
      </c>
      <c r="T16" s="50">
        <v>14</v>
      </c>
      <c r="U16" s="50">
        <v>14</v>
      </c>
      <c r="V16" s="50">
        <v>14</v>
      </c>
      <c r="W16" s="50">
        <v>14</v>
      </c>
      <c r="X16" s="50">
        <v>14</v>
      </c>
      <c r="Y16" s="50">
        <v>14</v>
      </c>
      <c r="Z16" s="50">
        <v>14</v>
      </c>
      <c r="AA16" s="50">
        <v>14</v>
      </c>
      <c r="AB16" s="50">
        <v>14</v>
      </c>
      <c r="AC16" s="50">
        <v>14</v>
      </c>
      <c r="AD16" s="50">
        <v>14</v>
      </c>
      <c r="AE16" s="50">
        <v>14</v>
      </c>
      <c r="AF16" s="50">
        <v>14</v>
      </c>
      <c r="AG16" s="55">
        <v>36</v>
      </c>
      <c r="AH16" s="52">
        <f t="shared" si="2"/>
        <v>14</v>
      </c>
      <c r="AI16" s="53">
        <f t="shared" si="3"/>
        <v>14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7.7</v>
      </c>
      <c r="C18" s="50">
        <v>7.7</v>
      </c>
      <c r="D18" s="50">
        <v>7.7</v>
      </c>
      <c r="E18" s="50">
        <v>7.7</v>
      </c>
      <c r="F18" s="50">
        <v>7.7</v>
      </c>
      <c r="G18" s="50">
        <v>7.7</v>
      </c>
      <c r="H18" s="50">
        <v>7.7</v>
      </c>
      <c r="I18" s="50">
        <v>7.7</v>
      </c>
      <c r="J18" s="50">
        <v>7.7</v>
      </c>
      <c r="K18" s="50">
        <v>7.7</v>
      </c>
      <c r="L18" s="50">
        <v>7.7</v>
      </c>
      <c r="M18" s="50">
        <v>9.9</v>
      </c>
      <c r="N18" s="50">
        <v>10.1</v>
      </c>
      <c r="O18" s="50">
        <v>10.1</v>
      </c>
      <c r="P18" s="50">
        <v>10.1</v>
      </c>
      <c r="Q18" s="50">
        <v>10.1</v>
      </c>
      <c r="R18" s="50">
        <v>10.1</v>
      </c>
      <c r="S18" s="50">
        <v>10.1</v>
      </c>
      <c r="T18" s="50">
        <v>10.1</v>
      </c>
      <c r="U18" s="50">
        <v>10.1</v>
      </c>
      <c r="V18" s="50">
        <v>10.1</v>
      </c>
      <c r="W18" s="50">
        <v>10.1</v>
      </c>
      <c r="X18" s="50">
        <v>10.1</v>
      </c>
      <c r="Y18" s="50">
        <v>10.1</v>
      </c>
      <c r="Z18" s="50">
        <v>10.1</v>
      </c>
      <c r="AA18" s="50">
        <v>10.1</v>
      </c>
      <c r="AB18" s="50">
        <v>10.1</v>
      </c>
      <c r="AC18" s="50">
        <v>10.1</v>
      </c>
      <c r="AD18" s="50">
        <v>10.1</v>
      </c>
      <c r="AE18" s="50">
        <v>10.1</v>
      </c>
      <c r="AF18" s="50">
        <v>10.1</v>
      </c>
      <c r="AG18" s="56">
        <v>30</v>
      </c>
      <c r="AH18" s="52">
        <f t="shared" si="2"/>
        <v>10.1</v>
      </c>
      <c r="AI18" s="53">
        <f t="shared" si="3"/>
        <v>7.7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6.6</v>
      </c>
      <c r="C19" s="50">
        <v>6.6</v>
      </c>
      <c r="D19" s="50">
        <v>6.6</v>
      </c>
      <c r="E19" s="50">
        <v>6.6</v>
      </c>
      <c r="F19" s="50">
        <v>6.6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6.6</v>
      </c>
      <c r="N19" s="50">
        <v>6.6</v>
      </c>
      <c r="O19" s="50">
        <v>6.6</v>
      </c>
      <c r="P19" s="50">
        <v>6.6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6.6</v>
      </c>
      <c r="AA19" s="50">
        <v>6.6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6.6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11</v>
      </c>
      <c r="C20" s="50">
        <v>11</v>
      </c>
      <c r="D20" s="50">
        <v>11</v>
      </c>
      <c r="E20" s="50">
        <v>11</v>
      </c>
      <c r="F20" s="50">
        <v>11</v>
      </c>
      <c r="G20" s="50">
        <v>11</v>
      </c>
      <c r="H20" s="50">
        <v>11</v>
      </c>
      <c r="I20" s="50">
        <v>11</v>
      </c>
      <c r="J20" s="50">
        <v>11</v>
      </c>
      <c r="K20" s="50">
        <v>11</v>
      </c>
      <c r="L20" s="50">
        <v>11</v>
      </c>
      <c r="M20" s="50">
        <v>8</v>
      </c>
      <c r="N20" s="50">
        <v>8</v>
      </c>
      <c r="O20" s="50">
        <v>8</v>
      </c>
      <c r="P20" s="50">
        <v>8</v>
      </c>
      <c r="Q20" s="50">
        <v>8</v>
      </c>
      <c r="R20" s="50">
        <v>8</v>
      </c>
      <c r="S20" s="50">
        <v>8</v>
      </c>
      <c r="T20" s="50">
        <v>8</v>
      </c>
      <c r="U20" s="50">
        <v>8</v>
      </c>
      <c r="V20" s="50">
        <v>8</v>
      </c>
      <c r="W20" s="50">
        <v>8</v>
      </c>
      <c r="X20" s="50">
        <v>8</v>
      </c>
      <c r="Y20" s="50">
        <v>8</v>
      </c>
      <c r="Z20" s="50">
        <v>8</v>
      </c>
      <c r="AA20" s="50">
        <v>8</v>
      </c>
      <c r="AB20" s="50">
        <v>8</v>
      </c>
      <c r="AC20" s="50">
        <v>8</v>
      </c>
      <c r="AD20" s="50">
        <v>8</v>
      </c>
      <c r="AE20" s="50">
        <v>8</v>
      </c>
      <c r="AF20" s="50">
        <v>8</v>
      </c>
      <c r="AG20" s="55">
        <v>28</v>
      </c>
      <c r="AH20" s="52">
        <f t="shared" si="2"/>
        <v>11</v>
      </c>
      <c r="AI20" s="53">
        <f t="shared" si="3"/>
        <v>8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6.5</v>
      </c>
      <c r="C21" s="50">
        <v>6.5</v>
      </c>
      <c r="D21" s="50">
        <v>6.5</v>
      </c>
      <c r="E21" s="50">
        <v>6.5</v>
      </c>
      <c r="F21" s="50">
        <v>6.5</v>
      </c>
      <c r="G21" s="50">
        <v>6.5</v>
      </c>
      <c r="H21" s="50">
        <v>6.5</v>
      </c>
      <c r="I21" s="50">
        <v>6.5</v>
      </c>
      <c r="J21" s="50">
        <v>6.5</v>
      </c>
      <c r="K21" s="50">
        <v>6.5</v>
      </c>
      <c r="L21" s="50">
        <v>6.5</v>
      </c>
      <c r="M21" s="50">
        <v>6.5</v>
      </c>
      <c r="N21" s="50">
        <v>6.5</v>
      </c>
      <c r="O21" s="50">
        <v>6.5</v>
      </c>
      <c r="P21" s="50">
        <v>6.5</v>
      </c>
      <c r="Q21" s="50">
        <v>6.5</v>
      </c>
      <c r="R21" s="50">
        <v>6.5</v>
      </c>
      <c r="S21" s="50">
        <v>6.5</v>
      </c>
      <c r="T21" s="50">
        <v>6.5</v>
      </c>
      <c r="U21" s="50">
        <v>6.5</v>
      </c>
      <c r="V21" s="50">
        <v>6.5</v>
      </c>
      <c r="W21" s="50">
        <v>6.5</v>
      </c>
      <c r="X21" s="50">
        <v>6.5</v>
      </c>
      <c r="Y21" s="50">
        <v>6.5</v>
      </c>
      <c r="Z21" s="50">
        <v>6.5</v>
      </c>
      <c r="AA21" s="50">
        <v>6.5</v>
      </c>
      <c r="AB21" s="50">
        <v>6.5</v>
      </c>
      <c r="AC21" s="50">
        <v>6.5</v>
      </c>
      <c r="AD21" s="50">
        <v>6.5</v>
      </c>
      <c r="AE21" s="50">
        <v>6.5</v>
      </c>
      <c r="AF21" s="50">
        <v>6.5</v>
      </c>
      <c r="AG21" s="56">
        <v>30</v>
      </c>
      <c r="AH21" s="52">
        <f t="shared" si="2"/>
        <v>6.5</v>
      </c>
      <c r="AI21" s="53">
        <f t="shared" si="3"/>
        <v>6.5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8.4</v>
      </c>
      <c r="C22" s="50">
        <v>8.4</v>
      </c>
      <c r="D22" s="50">
        <v>8.4</v>
      </c>
      <c r="E22" s="50">
        <v>8.4</v>
      </c>
      <c r="F22" s="50">
        <v>8.4</v>
      </c>
      <c r="G22" s="50">
        <v>8.4</v>
      </c>
      <c r="H22" s="50">
        <v>8.4</v>
      </c>
      <c r="I22" s="50">
        <v>8.4</v>
      </c>
      <c r="J22" s="50">
        <v>8.4</v>
      </c>
      <c r="K22" s="50">
        <v>8.4</v>
      </c>
      <c r="L22" s="50">
        <v>8.4</v>
      </c>
      <c r="M22" s="50">
        <v>10.1</v>
      </c>
      <c r="N22" s="50">
        <v>10.1</v>
      </c>
      <c r="O22" s="50">
        <v>10.1</v>
      </c>
      <c r="P22" s="50">
        <v>10.1</v>
      </c>
      <c r="Q22" s="50">
        <v>10.1</v>
      </c>
      <c r="R22" s="50">
        <v>10.1</v>
      </c>
      <c r="S22" s="50">
        <v>10.1</v>
      </c>
      <c r="T22" s="50">
        <v>10.1</v>
      </c>
      <c r="U22" s="50">
        <v>10.1</v>
      </c>
      <c r="V22" s="50">
        <v>10.1</v>
      </c>
      <c r="W22" s="50">
        <v>10.1</v>
      </c>
      <c r="X22" s="50">
        <v>10.1</v>
      </c>
      <c r="Y22" s="50">
        <v>10.1</v>
      </c>
      <c r="Z22" s="50">
        <v>10.1</v>
      </c>
      <c r="AA22" s="50">
        <v>10.1</v>
      </c>
      <c r="AB22" s="50">
        <v>10.1</v>
      </c>
      <c r="AC22" s="50">
        <v>10.1</v>
      </c>
      <c r="AD22" s="50">
        <v>10.1</v>
      </c>
      <c r="AE22" s="50">
        <v>10.1</v>
      </c>
      <c r="AF22" s="50">
        <v>10.1</v>
      </c>
      <c r="AG22" s="55">
        <v>25</v>
      </c>
      <c r="AH22" s="52">
        <f t="shared" si="2"/>
        <v>10.1</v>
      </c>
      <c r="AI22" s="53">
        <f t="shared" si="3"/>
        <v>8.4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8</v>
      </c>
      <c r="C23" s="50">
        <v>8</v>
      </c>
      <c r="D23" s="50">
        <v>8</v>
      </c>
      <c r="E23" s="50">
        <v>8</v>
      </c>
      <c r="F23" s="50">
        <v>8</v>
      </c>
      <c r="G23" s="50">
        <v>8</v>
      </c>
      <c r="H23" s="50">
        <v>8</v>
      </c>
      <c r="I23" s="50">
        <v>8</v>
      </c>
      <c r="J23" s="50">
        <v>8</v>
      </c>
      <c r="K23" s="50">
        <v>8</v>
      </c>
      <c r="L23" s="50">
        <v>8</v>
      </c>
      <c r="M23" s="50">
        <v>8</v>
      </c>
      <c r="N23" s="50">
        <v>8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5">
        <v>25</v>
      </c>
      <c r="AH23" s="52">
        <f t="shared" si="2"/>
        <v>8</v>
      </c>
      <c r="AI23" s="53">
        <f t="shared" si="3"/>
        <v>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6</v>
      </c>
      <c r="C26" s="50">
        <v>6</v>
      </c>
      <c r="D26" s="50">
        <v>6</v>
      </c>
      <c r="E26" s="50">
        <v>6</v>
      </c>
      <c r="F26" s="50">
        <v>6</v>
      </c>
      <c r="G26" s="50">
        <v>6</v>
      </c>
      <c r="H26" s="50">
        <v>6</v>
      </c>
      <c r="I26" s="50">
        <v>6</v>
      </c>
      <c r="J26" s="50">
        <v>6</v>
      </c>
      <c r="K26" s="50">
        <v>6</v>
      </c>
      <c r="L26" s="50">
        <v>6</v>
      </c>
      <c r="M26" s="50">
        <v>6.1</v>
      </c>
      <c r="N26" s="50">
        <v>6.6</v>
      </c>
      <c r="O26" s="50">
        <v>6.6</v>
      </c>
      <c r="P26" s="50">
        <v>6.6</v>
      </c>
      <c r="Q26" s="50">
        <v>6.6</v>
      </c>
      <c r="R26" s="50">
        <v>6.6</v>
      </c>
      <c r="S26" s="50">
        <v>6.6</v>
      </c>
      <c r="T26" s="50">
        <v>6.6</v>
      </c>
      <c r="U26" s="50">
        <v>6.6</v>
      </c>
      <c r="V26" s="50">
        <v>6.6</v>
      </c>
      <c r="W26" s="50">
        <v>6.6</v>
      </c>
      <c r="X26" s="50">
        <v>6.6</v>
      </c>
      <c r="Y26" s="50">
        <v>6.6</v>
      </c>
      <c r="Z26" s="50">
        <v>6.6</v>
      </c>
      <c r="AA26" s="50">
        <v>6.6</v>
      </c>
      <c r="AB26" s="50">
        <v>6.6</v>
      </c>
      <c r="AC26" s="50">
        <v>6.6</v>
      </c>
      <c r="AD26" s="50">
        <v>6.6</v>
      </c>
      <c r="AE26" s="50">
        <v>6.6</v>
      </c>
      <c r="AF26" s="50">
        <v>6.6</v>
      </c>
      <c r="AG26" s="55">
        <v>23.5</v>
      </c>
      <c r="AH26" s="52">
        <f t="shared" si="2"/>
        <v>6.6</v>
      </c>
      <c r="AI26" s="53">
        <f t="shared" si="3"/>
        <v>6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5">
        <v>22</v>
      </c>
      <c r="AH29" s="52">
        <f t="shared" si="2"/>
        <v>0</v>
      </c>
      <c r="AI29" s="53">
        <f t="shared" si="3"/>
        <v>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11</v>
      </c>
      <c r="C30" s="50">
        <v>11</v>
      </c>
      <c r="D30" s="50">
        <v>11</v>
      </c>
      <c r="E30" s="50">
        <v>11</v>
      </c>
      <c r="F30" s="50">
        <v>11</v>
      </c>
      <c r="G30" s="50">
        <v>11</v>
      </c>
      <c r="H30" s="50">
        <v>11</v>
      </c>
      <c r="I30" s="50">
        <v>11</v>
      </c>
      <c r="J30" s="50">
        <v>11</v>
      </c>
      <c r="K30" s="50">
        <v>11</v>
      </c>
      <c r="L30" s="50">
        <v>11</v>
      </c>
      <c r="M30" s="50">
        <v>9</v>
      </c>
      <c r="N30" s="50">
        <v>9</v>
      </c>
      <c r="O30" s="50">
        <v>9</v>
      </c>
      <c r="P30" s="50">
        <v>9</v>
      </c>
      <c r="Q30" s="50">
        <v>9</v>
      </c>
      <c r="R30" s="50">
        <v>9</v>
      </c>
      <c r="S30" s="50">
        <v>9</v>
      </c>
      <c r="T30" s="50">
        <v>9</v>
      </c>
      <c r="U30" s="50">
        <v>9</v>
      </c>
      <c r="V30" s="50">
        <v>9</v>
      </c>
      <c r="W30" s="50">
        <v>9</v>
      </c>
      <c r="X30" s="50">
        <v>9</v>
      </c>
      <c r="Y30" s="50">
        <v>9</v>
      </c>
      <c r="Z30" s="50">
        <v>9</v>
      </c>
      <c r="AA30" s="50">
        <v>9</v>
      </c>
      <c r="AB30" s="50">
        <v>9</v>
      </c>
      <c r="AC30" s="50">
        <v>9</v>
      </c>
      <c r="AD30" s="50">
        <v>0</v>
      </c>
      <c r="AE30" s="50">
        <v>0</v>
      </c>
      <c r="AF30" s="50">
        <v>0</v>
      </c>
      <c r="AG30" s="55">
        <v>22</v>
      </c>
      <c r="AH30" s="52">
        <f t="shared" si="2"/>
        <v>11</v>
      </c>
      <c r="AI30" s="53">
        <f t="shared" si="3"/>
        <v>0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55">
        <v>20</v>
      </c>
      <c r="AH31" s="52">
        <f t="shared" si="2"/>
        <v>6</v>
      </c>
      <c r="AI31" s="53">
        <f t="shared" si="3"/>
        <v>6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>
        <v>4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5.2</v>
      </c>
      <c r="C38" s="50">
        <v>5.2</v>
      </c>
      <c r="D38" s="50">
        <v>5.2</v>
      </c>
      <c r="E38" s="50">
        <v>5.2</v>
      </c>
      <c r="F38" s="50">
        <v>5.2</v>
      </c>
      <c r="G38" s="50">
        <v>5.2</v>
      </c>
      <c r="H38" s="50">
        <v>5.2</v>
      </c>
      <c r="I38" s="50">
        <v>5.2</v>
      </c>
      <c r="J38" s="50">
        <v>5.2</v>
      </c>
      <c r="K38" s="50">
        <v>5.2</v>
      </c>
      <c r="L38" s="50">
        <v>5.2</v>
      </c>
      <c r="M38" s="50">
        <v>5.2</v>
      </c>
      <c r="N38" s="50">
        <v>5.2</v>
      </c>
      <c r="O38" s="50">
        <v>5.2</v>
      </c>
      <c r="P38" s="50">
        <v>5.2</v>
      </c>
      <c r="Q38" s="50">
        <v>5.2</v>
      </c>
      <c r="R38" s="50">
        <v>5.2</v>
      </c>
      <c r="S38" s="50">
        <v>5.2</v>
      </c>
      <c r="T38" s="50">
        <v>5.2</v>
      </c>
      <c r="U38" s="50">
        <v>5.2</v>
      </c>
      <c r="V38" s="50">
        <v>5.2</v>
      </c>
      <c r="W38" s="50">
        <v>5.2</v>
      </c>
      <c r="X38" s="50">
        <v>5.2</v>
      </c>
      <c r="Y38" s="50">
        <v>5.2</v>
      </c>
      <c r="Z38" s="50">
        <v>5.2</v>
      </c>
      <c r="AA38" s="50">
        <v>5.2</v>
      </c>
      <c r="AB38" s="50">
        <v>5.2</v>
      </c>
      <c r="AC38" s="50">
        <v>5.2</v>
      </c>
      <c r="AD38" s="50">
        <v>5.2</v>
      </c>
      <c r="AE38" s="50">
        <v>5.2</v>
      </c>
      <c r="AF38" s="50">
        <v>5.2</v>
      </c>
      <c r="AG38" s="55">
        <v>12</v>
      </c>
      <c r="AH38" s="52">
        <f t="shared" si="2"/>
        <v>5.2</v>
      </c>
      <c r="AI38" s="53">
        <f t="shared" si="3"/>
        <v>5.2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50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3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120</v>
      </c>
      <c r="C46" s="63">
        <v>120</v>
      </c>
      <c r="D46" s="63">
        <v>120</v>
      </c>
      <c r="E46" s="63">
        <v>120</v>
      </c>
      <c r="F46" s="63">
        <v>120</v>
      </c>
      <c r="G46" s="63">
        <v>120</v>
      </c>
      <c r="H46" s="63">
        <v>120</v>
      </c>
      <c r="I46" s="63">
        <v>120</v>
      </c>
      <c r="J46" s="63">
        <v>120</v>
      </c>
      <c r="K46" s="63">
        <v>120</v>
      </c>
      <c r="L46" s="63">
        <v>120</v>
      </c>
      <c r="M46" s="63">
        <v>120</v>
      </c>
      <c r="N46" s="63">
        <v>120</v>
      </c>
      <c r="O46" s="63">
        <v>120</v>
      </c>
      <c r="P46" s="63">
        <v>120</v>
      </c>
      <c r="Q46" s="63">
        <v>120</v>
      </c>
      <c r="R46" s="63">
        <v>120</v>
      </c>
      <c r="S46" s="63">
        <v>120</v>
      </c>
      <c r="T46" s="63">
        <v>120</v>
      </c>
      <c r="U46" s="63">
        <v>120</v>
      </c>
      <c r="V46" s="63">
        <v>120</v>
      </c>
      <c r="W46" s="63">
        <v>120</v>
      </c>
      <c r="X46" s="63">
        <v>120</v>
      </c>
      <c r="Y46" s="63">
        <v>120</v>
      </c>
      <c r="Z46" s="63">
        <v>120</v>
      </c>
      <c r="AA46" s="63">
        <v>120</v>
      </c>
      <c r="AB46" s="63">
        <v>120</v>
      </c>
      <c r="AC46" s="63">
        <v>120</v>
      </c>
      <c r="AD46" s="63">
        <v>120</v>
      </c>
      <c r="AE46" s="63">
        <v>120</v>
      </c>
      <c r="AF46" s="63">
        <v>120</v>
      </c>
      <c r="AG46" s="61">
        <v>85</v>
      </c>
      <c r="AH46" s="52">
        <f t="shared" si="2"/>
        <v>120</v>
      </c>
      <c r="AI46" s="53">
        <f t="shared" si="3"/>
        <v>120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>SUM(B11:B46)</f>
        <v>382.79999999999995</v>
      </c>
      <c r="C48" s="67">
        <f t="shared" ref="C48:AF48" si="4">SUM(C11:C46)</f>
        <v>382.79999999999995</v>
      </c>
      <c r="D48" s="67">
        <f t="shared" si="4"/>
        <v>382.79999999999995</v>
      </c>
      <c r="E48" s="67">
        <f t="shared" ref="E48:F48" si="5">SUM(E11:E46)</f>
        <v>382.79999999999995</v>
      </c>
      <c r="F48" s="67">
        <f t="shared" si="5"/>
        <v>382.79999999999995</v>
      </c>
      <c r="G48" s="67">
        <f t="shared" si="4"/>
        <v>382.79999999999995</v>
      </c>
      <c r="H48" s="67">
        <f t="shared" si="4"/>
        <v>382.79999999999995</v>
      </c>
      <c r="I48" s="67">
        <f t="shared" si="4"/>
        <v>382.79999999999995</v>
      </c>
      <c r="J48" s="67">
        <f t="shared" ref="J48:L48" si="6">SUM(J11:J46)</f>
        <v>382.79999999999995</v>
      </c>
      <c r="K48" s="67">
        <f t="shared" si="6"/>
        <v>382.79999999999995</v>
      </c>
      <c r="L48" s="67">
        <f t="shared" si="6"/>
        <v>382.79999999999995</v>
      </c>
      <c r="M48" s="67">
        <f t="shared" ref="M48" si="7">SUM(M11:M46)</f>
        <v>389.09999999999997</v>
      </c>
      <c r="N48" s="67">
        <f t="shared" si="4"/>
        <v>390.09999999999997</v>
      </c>
      <c r="O48" s="67">
        <f t="shared" si="4"/>
        <v>382.09999999999991</v>
      </c>
      <c r="P48" s="67">
        <f t="shared" si="4"/>
        <v>382.09999999999991</v>
      </c>
      <c r="Q48" s="67">
        <f t="shared" si="4"/>
        <v>382.09999999999991</v>
      </c>
      <c r="R48" s="67">
        <f t="shared" si="4"/>
        <v>382.09999999999991</v>
      </c>
      <c r="S48" s="67">
        <f t="shared" si="4"/>
        <v>382.09999999999991</v>
      </c>
      <c r="T48" s="67">
        <f t="shared" si="4"/>
        <v>382.09999999999991</v>
      </c>
      <c r="U48" s="67">
        <f t="shared" si="4"/>
        <v>382.09999999999991</v>
      </c>
      <c r="V48" s="67">
        <f t="shared" si="4"/>
        <v>382.09999999999991</v>
      </c>
      <c r="W48" s="67">
        <f t="shared" si="4"/>
        <v>382.09999999999991</v>
      </c>
      <c r="X48" s="67">
        <f t="shared" si="4"/>
        <v>382.09999999999991</v>
      </c>
      <c r="Y48" s="67">
        <f t="shared" si="4"/>
        <v>382.09999999999991</v>
      </c>
      <c r="Z48" s="67">
        <f t="shared" si="4"/>
        <v>382.09999999999991</v>
      </c>
      <c r="AA48" s="67">
        <f t="shared" si="4"/>
        <v>391.09999999999997</v>
      </c>
      <c r="AB48" s="67">
        <f t="shared" si="4"/>
        <v>391.09999999999997</v>
      </c>
      <c r="AC48" s="67">
        <f t="shared" si="4"/>
        <v>391.09999999999997</v>
      </c>
      <c r="AD48" s="67">
        <f t="shared" si="4"/>
        <v>382.09999999999991</v>
      </c>
      <c r="AE48" s="67">
        <f t="shared" si="4"/>
        <v>382.09999999999991</v>
      </c>
      <c r="AF48" s="67">
        <f t="shared" si="4"/>
        <v>382.09999999999991</v>
      </c>
      <c r="AG48" s="68">
        <f t="shared" ref="AG48" si="8">SUM(AG12:AG46)</f>
        <v>875.68</v>
      </c>
      <c r="AH48" s="52">
        <f t="shared" si="2"/>
        <v>391.09999999999997</v>
      </c>
      <c r="AI48" s="53">
        <f t="shared" si="3"/>
        <v>382.09999999999991</v>
      </c>
      <c r="AK48" s="54"/>
    </row>
    <row r="49" spans="1:41" x14ac:dyDescent="0.25">
      <c r="A49" s="69" t="s">
        <v>57</v>
      </c>
      <c r="B49" s="50">
        <v>60</v>
      </c>
      <c r="C49" s="50">
        <v>60</v>
      </c>
      <c r="D49" s="50">
        <v>60</v>
      </c>
      <c r="E49" s="50">
        <v>60</v>
      </c>
      <c r="F49" s="50">
        <v>60</v>
      </c>
      <c r="G49" s="50">
        <v>70</v>
      </c>
      <c r="H49" s="50">
        <v>50</v>
      </c>
      <c r="I49" s="50">
        <v>30</v>
      </c>
      <c r="J49" s="50">
        <v>40</v>
      </c>
      <c r="K49" s="50">
        <v>40</v>
      </c>
      <c r="L49" s="50">
        <v>40</v>
      </c>
      <c r="M49" s="50">
        <v>60</v>
      </c>
      <c r="N49" s="70">
        <v>70</v>
      </c>
      <c r="O49" s="70">
        <v>80</v>
      </c>
      <c r="P49" s="70">
        <v>80</v>
      </c>
      <c r="Q49" s="70">
        <v>75</v>
      </c>
      <c r="R49" s="70">
        <v>81</v>
      </c>
      <c r="S49" s="70">
        <v>81</v>
      </c>
      <c r="T49" s="50">
        <v>30</v>
      </c>
      <c r="U49" s="50">
        <v>40</v>
      </c>
      <c r="V49" s="50">
        <v>30</v>
      </c>
      <c r="W49" s="50">
        <v>30</v>
      </c>
      <c r="X49" s="50">
        <v>70</v>
      </c>
      <c r="Y49" s="50">
        <v>110</v>
      </c>
      <c r="Z49" s="50">
        <v>80</v>
      </c>
      <c r="AA49" s="50">
        <v>130</v>
      </c>
      <c r="AB49" s="50">
        <v>130</v>
      </c>
      <c r="AC49" s="50">
        <v>140</v>
      </c>
      <c r="AD49" s="50">
        <v>100</v>
      </c>
      <c r="AE49" s="50">
        <v>120</v>
      </c>
      <c r="AF49" s="50">
        <v>120</v>
      </c>
      <c r="AG49" s="56">
        <v>456</v>
      </c>
      <c r="AH49" s="52">
        <f t="shared" si="2"/>
        <v>140</v>
      </c>
      <c r="AI49" s="53">
        <f t="shared" si="3"/>
        <v>30</v>
      </c>
      <c r="AK49" s="54"/>
    </row>
    <row r="50" spans="1:41" x14ac:dyDescent="0.25">
      <c r="A50" s="71" t="s">
        <v>58</v>
      </c>
      <c r="B50" s="72">
        <v>30</v>
      </c>
      <c r="C50" s="72">
        <v>30</v>
      </c>
      <c r="D50" s="72">
        <v>30</v>
      </c>
      <c r="E50" s="72">
        <v>30</v>
      </c>
      <c r="F50" s="72">
        <v>30</v>
      </c>
      <c r="G50" s="72">
        <v>30</v>
      </c>
      <c r="H50" s="72">
        <v>30</v>
      </c>
      <c r="I50" s="72">
        <v>30</v>
      </c>
      <c r="J50" s="72">
        <v>30</v>
      </c>
      <c r="K50" s="72">
        <v>30</v>
      </c>
      <c r="L50" s="72">
        <v>30</v>
      </c>
      <c r="M50" s="72">
        <v>30</v>
      </c>
      <c r="N50" s="72">
        <v>30</v>
      </c>
      <c r="O50" s="72">
        <v>30</v>
      </c>
      <c r="P50" s="72">
        <v>30</v>
      </c>
      <c r="Q50" s="72">
        <v>30</v>
      </c>
      <c r="R50" s="72">
        <v>30</v>
      </c>
      <c r="S50" s="72">
        <v>30</v>
      </c>
      <c r="T50" s="72">
        <v>30</v>
      </c>
      <c r="U50" s="72">
        <v>30</v>
      </c>
      <c r="V50" s="72">
        <v>30</v>
      </c>
      <c r="W50" s="72">
        <v>30</v>
      </c>
      <c r="X50" s="72">
        <v>30</v>
      </c>
      <c r="Y50" s="72">
        <v>30</v>
      </c>
      <c r="Z50" s="72">
        <v>30</v>
      </c>
      <c r="AA50" s="72">
        <v>30</v>
      </c>
      <c r="AB50" s="72">
        <v>30</v>
      </c>
      <c r="AC50" s="72">
        <v>30</v>
      </c>
      <c r="AD50" s="72">
        <v>30</v>
      </c>
      <c r="AE50" s="72">
        <v>30</v>
      </c>
      <c r="AF50" s="72">
        <v>30</v>
      </c>
      <c r="AG50" s="61">
        <v>60</v>
      </c>
      <c r="AH50" s="52">
        <f t="shared" si="2"/>
        <v>30</v>
      </c>
      <c r="AI50" s="53">
        <f t="shared" si="3"/>
        <v>30</v>
      </c>
      <c r="AK50" s="54"/>
    </row>
    <row r="51" spans="1:41" ht="15.75" thickBot="1" x14ac:dyDescent="0.3">
      <c r="A51" s="73" t="s">
        <v>59</v>
      </c>
      <c r="B51" s="74">
        <v>15</v>
      </c>
      <c r="C51" s="74">
        <v>15</v>
      </c>
      <c r="D51" s="74">
        <v>15</v>
      </c>
      <c r="E51" s="74">
        <v>15</v>
      </c>
      <c r="F51" s="74">
        <v>15</v>
      </c>
      <c r="G51" s="74">
        <v>15</v>
      </c>
      <c r="H51" s="74">
        <v>15</v>
      </c>
      <c r="I51" s="74">
        <v>15</v>
      </c>
      <c r="J51" s="74">
        <v>15</v>
      </c>
      <c r="K51" s="74">
        <v>15</v>
      </c>
      <c r="L51" s="74">
        <v>15</v>
      </c>
      <c r="M51" s="74">
        <v>11.3</v>
      </c>
      <c r="N51" s="74">
        <v>12.2</v>
      </c>
      <c r="O51" s="74">
        <v>12.2</v>
      </c>
      <c r="P51" s="74">
        <v>12.2</v>
      </c>
      <c r="Q51" s="74">
        <v>12.2</v>
      </c>
      <c r="R51" s="74">
        <v>12.2</v>
      </c>
      <c r="S51" s="74">
        <v>12.2</v>
      </c>
      <c r="T51" s="74">
        <v>12.3</v>
      </c>
      <c r="U51" s="74">
        <v>12.3</v>
      </c>
      <c r="V51" s="74">
        <v>12.3</v>
      </c>
      <c r="W51" s="74">
        <v>12.3</v>
      </c>
      <c r="X51" s="74">
        <v>12.3</v>
      </c>
      <c r="Y51" s="74">
        <v>12.3</v>
      </c>
      <c r="Z51" s="74">
        <v>12.3</v>
      </c>
      <c r="AA51" s="74">
        <v>12.3</v>
      </c>
      <c r="AB51" s="74">
        <v>12.3</v>
      </c>
      <c r="AC51" s="74">
        <v>12.3</v>
      </c>
      <c r="AD51" s="74">
        <v>12.3</v>
      </c>
      <c r="AE51" s="74">
        <v>12.3</v>
      </c>
      <c r="AF51" s="74">
        <v>12.3</v>
      </c>
      <c r="AG51" s="75">
        <v>22.1</v>
      </c>
      <c r="AH51" s="52">
        <f t="shared" si="2"/>
        <v>15</v>
      </c>
      <c r="AI51" s="53">
        <f t="shared" si="3"/>
        <v>11.3</v>
      </c>
      <c r="AK51" s="54"/>
    </row>
    <row r="52" spans="1:41" ht="15.75" thickBot="1" x14ac:dyDescent="0.3">
      <c r="A52" s="76" t="s">
        <v>60</v>
      </c>
      <c r="B52" s="67">
        <f t="shared" ref="B52:AG52" si="9">SUM(B49:B51)</f>
        <v>105</v>
      </c>
      <c r="C52" s="67">
        <f t="shared" si="9"/>
        <v>105</v>
      </c>
      <c r="D52" s="67">
        <f t="shared" si="9"/>
        <v>105</v>
      </c>
      <c r="E52" s="67">
        <f t="shared" ref="E52:F52" si="10">SUM(E49:E51)</f>
        <v>105</v>
      </c>
      <c r="F52" s="67">
        <f t="shared" si="10"/>
        <v>105</v>
      </c>
      <c r="G52" s="67">
        <f t="shared" si="9"/>
        <v>115</v>
      </c>
      <c r="H52" s="67">
        <f t="shared" si="9"/>
        <v>95</v>
      </c>
      <c r="I52" s="67">
        <f t="shared" si="9"/>
        <v>75</v>
      </c>
      <c r="J52" s="67">
        <f t="shared" ref="J52:L52" si="11">SUM(J49:J51)</f>
        <v>85</v>
      </c>
      <c r="K52" s="67">
        <f t="shared" si="11"/>
        <v>85</v>
      </c>
      <c r="L52" s="67">
        <f t="shared" si="11"/>
        <v>85</v>
      </c>
      <c r="M52" s="67">
        <f t="shared" ref="M52" si="12">SUM(M49:M51)</f>
        <v>101.3</v>
      </c>
      <c r="N52" s="67">
        <f t="shared" si="9"/>
        <v>112.2</v>
      </c>
      <c r="O52" s="67">
        <f t="shared" si="9"/>
        <v>122.2</v>
      </c>
      <c r="P52" s="67">
        <f t="shared" si="9"/>
        <v>122.2</v>
      </c>
      <c r="Q52" s="67">
        <f t="shared" si="9"/>
        <v>117.2</v>
      </c>
      <c r="R52" s="67">
        <f t="shared" si="9"/>
        <v>123.2</v>
      </c>
      <c r="S52" s="67">
        <f t="shared" si="9"/>
        <v>123.2</v>
      </c>
      <c r="T52" s="67">
        <f t="shared" si="9"/>
        <v>72.3</v>
      </c>
      <c r="U52" s="67">
        <f t="shared" si="9"/>
        <v>82.3</v>
      </c>
      <c r="V52" s="67">
        <f t="shared" si="9"/>
        <v>72.3</v>
      </c>
      <c r="W52" s="67">
        <f t="shared" si="9"/>
        <v>72.3</v>
      </c>
      <c r="X52" s="67">
        <f t="shared" si="9"/>
        <v>112.3</v>
      </c>
      <c r="Y52" s="67">
        <f t="shared" si="9"/>
        <v>152.30000000000001</v>
      </c>
      <c r="Z52" s="67">
        <f t="shared" si="9"/>
        <v>122.3</v>
      </c>
      <c r="AA52" s="67">
        <f t="shared" si="9"/>
        <v>172.3</v>
      </c>
      <c r="AB52" s="67">
        <f t="shared" si="9"/>
        <v>172.3</v>
      </c>
      <c r="AC52" s="67">
        <f t="shared" si="9"/>
        <v>182.3</v>
      </c>
      <c r="AD52" s="67">
        <f t="shared" si="9"/>
        <v>142.30000000000001</v>
      </c>
      <c r="AE52" s="67">
        <f t="shared" si="9"/>
        <v>162.30000000000001</v>
      </c>
      <c r="AF52" s="67">
        <f t="shared" si="9"/>
        <v>162.30000000000001</v>
      </c>
      <c r="AG52" s="68">
        <f t="shared" si="9"/>
        <v>538.1</v>
      </c>
      <c r="AH52" s="52">
        <f t="shared" si="2"/>
        <v>182.3</v>
      </c>
      <c r="AI52" s="53">
        <f t="shared" si="3"/>
        <v>72.3</v>
      </c>
      <c r="AK52" s="54"/>
    </row>
    <row r="53" spans="1:41" x14ac:dyDescent="0.25">
      <c r="A53" s="49" t="s">
        <v>61</v>
      </c>
      <c r="B53" s="50">
        <v>40</v>
      </c>
      <c r="C53" s="50">
        <v>33</v>
      </c>
      <c r="D53" s="50">
        <v>28.8</v>
      </c>
      <c r="E53" s="50">
        <v>28.8</v>
      </c>
      <c r="F53" s="50">
        <v>48</v>
      </c>
      <c r="G53" s="50">
        <v>48</v>
      </c>
      <c r="H53" s="50">
        <v>60</v>
      </c>
      <c r="I53" s="50">
        <v>60</v>
      </c>
      <c r="J53" s="50">
        <v>60.6</v>
      </c>
      <c r="K53" s="50">
        <v>48</v>
      </c>
      <c r="L53" s="50">
        <v>48</v>
      </c>
      <c r="M53" s="50">
        <v>40.6</v>
      </c>
      <c r="N53" s="50">
        <v>40.700000000000003</v>
      </c>
      <c r="O53" s="50">
        <v>30</v>
      </c>
      <c r="P53" s="50">
        <v>61.3</v>
      </c>
      <c r="Q53" s="50">
        <v>81.400000000000006</v>
      </c>
      <c r="R53" s="50">
        <v>81.400000000000006</v>
      </c>
      <c r="S53" s="50">
        <v>89.4</v>
      </c>
      <c r="T53" s="50">
        <v>81.400000000000006</v>
      </c>
      <c r="U53" s="50">
        <v>81.400000000000006</v>
      </c>
      <c r="V53" s="50">
        <v>81.400000000000006</v>
      </c>
      <c r="W53" s="50">
        <v>75</v>
      </c>
      <c r="X53" s="50">
        <v>81</v>
      </c>
      <c r="Y53" s="50">
        <v>81.599999999999994</v>
      </c>
      <c r="Z53" s="50">
        <v>122.3</v>
      </c>
      <c r="AA53" s="50">
        <v>144.30000000000001</v>
      </c>
      <c r="AB53" s="50">
        <v>127</v>
      </c>
      <c r="AC53" s="50">
        <v>127</v>
      </c>
      <c r="AD53" s="50">
        <v>127</v>
      </c>
      <c r="AE53" s="50">
        <v>127</v>
      </c>
      <c r="AF53" s="50">
        <v>110</v>
      </c>
      <c r="AG53" s="56">
        <v>144</v>
      </c>
      <c r="AH53" s="52">
        <f t="shared" si="2"/>
        <v>144.30000000000001</v>
      </c>
      <c r="AI53" s="53">
        <f t="shared" si="3"/>
        <v>28.8</v>
      </c>
      <c r="AK53" s="54"/>
    </row>
    <row r="54" spans="1:41" x14ac:dyDescent="0.25">
      <c r="A54" s="60" t="s">
        <v>62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34</v>
      </c>
      <c r="H54" s="72">
        <v>34</v>
      </c>
      <c r="I54" s="72">
        <v>34</v>
      </c>
      <c r="J54" s="72">
        <v>34</v>
      </c>
      <c r="K54" s="72">
        <v>34</v>
      </c>
      <c r="L54" s="72">
        <v>45</v>
      </c>
      <c r="M54" s="72">
        <v>45.9</v>
      </c>
      <c r="N54" s="72">
        <v>47.1</v>
      </c>
      <c r="O54" s="72">
        <v>54</v>
      </c>
      <c r="P54" s="72">
        <v>56.3</v>
      </c>
      <c r="Q54" s="72">
        <v>61.2</v>
      </c>
      <c r="R54" s="72">
        <v>50</v>
      </c>
      <c r="S54" s="50">
        <v>68.900000000000006</v>
      </c>
      <c r="T54" s="50">
        <v>50.8</v>
      </c>
      <c r="U54" s="50">
        <v>43.8</v>
      </c>
      <c r="V54" s="50">
        <v>47.2</v>
      </c>
      <c r="W54" s="50">
        <v>45.8</v>
      </c>
      <c r="X54" s="50">
        <v>47.7</v>
      </c>
      <c r="Y54" s="50">
        <v>46.8</v>
      </c>
      <c r="Z54" s="50">
        <v>50.8</v>
      </c>
      <c r="AA54" s="50">
        <v>51</v>
      </c>
      <c r="AB54" s="50">
        <v>44</v>
      </c>
      <c r="AC54" s="50">
        <v>44</v>
      </c>
      <c r="AD54" s="50">
        <v>44</v>
      </c>
      <c r="AE54" s="50">
        <v>22</v>
      </c>
      <c r="AF54" s="72">
        <v>0</v>
      </c>
      <c r="AG54" s="61">
        <v>70</v>
      </c>
      <c r="AH54" s="52">
        <f t="shared" si="2"/>
        <v>68.900000000000006</v>
      </c>
      <c r="AI54" s="53">
        <f t="shared" si="3"/>
        <v>0</v>
      </c>
      <c r="AK54" s="54"/>
    </row>
    <row r="55" spans="1:41" x14ac:dyDescent="0.25">
      <c r="A55" s="60" t="s">
        <v>63</v>
      </c>
      <c r="B55" s="72">
        <v>45.6</v>
      </c>
      <c r="C55" s="72">
        <v>46</v>
      </c>
      <c r="D55" s="72">
        <v>40.6</v>
      </c>
      <c r="E55" s="72">
        <v>40.6</v>
      </c>
      <c r="F55" s="72">
        <v>45.6</v>
      </c>
      <c r="G55" s="72">
        <v>22</v>
      </c>
      <c r="H55" s="72">
        <v>22</v>
      </c>
      <c r="I55" s="72">
        <v>22</v>
      </c>
      <c r="J55" s="72">
        <v>0</v>
      </c>
      <c r="K55" s="72">
        <v>0</v>
      </c>
      <c r="L55" s="72">
        <v>0</v>
      </c>
      <c r="M55" s="72">
        <v>0</v>
      </c>
      <c r="N55" s="72">
        <v>0</v>
      </c>
      <c r="O55" s="72">
        <v>0</v>
      </c>
      <c r="P55" s="72">
        <v>17</v>
      </c>
      <c r="Q55" s="72">
        <v>17</v>
      </c>
      <c r="R55" s="72">
        <v>17</v>
      </c>
      <c r="S55" s="50">
        <v>16.8</v>
      </c>
      <c r="T55" s="50">
        <v>14.7</v>
      </c>
      <c r="U55" s="50">
        <v>22.2</v>
      </c>
      <c r="V55" s="50">
        <v>34.5</v>
      </c>
      <c r="W55" s="50">
        <v>40.6</v>
      </c>
      <c r="X55" s="50">
        <v>35</v>
      </c>
      <c r="Y55" s="50">
        <v>34.200000000000003</v>
      </c>
      <c r="Z55" s="50">
        <v>52</v>
      </c>
      <c r="AA55" s="50">
        <v>62.4</v>
      </c>
      <c r="AB55" s="50">
        <v>62</v>
      </c>
      <c r="AC55" s="50">
        <v>62</v>
      </c>
      <c r="AD55" s="50">
        <v>62</v>
      </c>
      <c r="AE55" s="50">
        <v>50</v>
      </c>
      <c r="AF55" s="72">
        <v>32</v>
      </c>
      <c r="AG55" s="61">
        <v>69</v>
      </c>
      <c r="AH55" s="52">
        <f t="shared" si="2"/>
        <v>62.4</v>
      </c>
      <c r="AI55" s="53">
        <f t="shared" si="3"/>
        <v>0</v>
      </c>
      <c r="AK55" s="54"/>
    </row>
    <row r="56" spans="1:41" x14ac:dyDescent="0.25">
      <c r="A56" s="60" t="s">
        <v>64</v>
      </c>
      <c r="B56" s="72">
        <v>10</v>
      </c>
      <c r="C56" s="72">
        <v>10</v>
      </c>
      <c r="D56" s="72">
        <v>10</v>
      </c>
      <c r="E56" s="72">
        <v>10</v>
      </c>
      <c r="F56" s="72">
        <v>10</v>
      </c>
      <c r="G56" s="72">
        <v>10</v>
      </c>
      <c r="H56" s="72">
        <v>10</v>
      </c>
      <c r="I56" s="72">
        <v>10</v>
      </c>
      <c r="J56" s="72">
        <v>10</v>
      </c>
      <c r="K56" s="72">
        <v>10</v>
      </c>
      <c r="L56" s="72">
        <v>10</v>
      </c>
      <c r="M56" s="72">
        <v>38.299999999999997</v>
      </c>
      <c r="N56" s="72">
        <v>39</v>
      </c>
      <c r="O56" s="72">
        <v>37</v>
      </c>
      <c r="P56" s="72">
        <v>37</v>
      </c>
      <c r="Q56" s="72">
        <v>37</v>
      </c>
      <c r="R56" s="72">
        <v>37</v>
      </c>
      <c r="S56" s="50">
        <v>39.1</v>
      </c>
      <c r="T56" s="50">
        <v>39.299999999999997</v>
      </c>
      <c r="U56" s="50">
        <v>39.299999999999997</v>
      </c>
      <c r="V56" s="50">
        <v>37.299999999999997</v>
      </c>
      <c r="W56" s="50">
        <v>37.299999999999997</v>
      </c>
      <c r="X56" s="50">
        <v>37.299999999999997</v>
      </c>
      <c r="Y56" s="50">
        <v>37.299999999999997</v>
      </c>
      <c r="Z56" s="50">
        <v>37.299999999999997</v>
      </c>
      <c r="AA56" s="50">
        <v>37.299999999999997</v>
      </c>
      <c r="AB56" s="50">
        <v>38</v>
      </c>
      <c r="AC56" s="50">
        <v>38</v>
      </c>
      <c r="AD56" s="50">
        <v>38</v>
      </c>
      <c r="AE56" s="50">
        <v>38</v>
      </c>
      <c r="AF56" s="72">
        <v>39</v>
      </c>
      <c r="AG56" s="61">
        <v>60</v>
      </c>
      <c r="AH56" s="52">
        <f t="shared" si="2"/>
        <v>39.299999999999997</v>
      </c>
      <c r="AI56" s="53">
        <f t="shared" si="3"/>
        <v>10</v>
      </c>
      <c r="AK56" s="54"/>
    </row>
    <row r="57" spans="1:41" x14ac:dyDescent="0.25">
      <c r="A57" s="60" t="s">
        <v>65</v>
      </c>
      <c r="B57" s="72">
        <v>0</v>
      </c>
      <c r="C57" s="72">
        <v>0</v>
      </c>
      <c r="D57" s="72">
        <v>0</v>
      </c>
      <c r="E57" s="72">
        <v>0</v>
      </c>
      <c r="F57" s="72">
        <v>0</v>
      </c>
      <c r="G57" s="72">
        <v>10</v>
      </c>
      <c r="H57" s="72">
        <v>10</v>
      </c>
      <c r="I57" s="72">
        <v>10</v>
      </c>
      <c r="J57" s="72">
        <v>10</v>
      </c>
      <c r="K57" s="72">
        <v>15</v>
      </c>
      <c r="L57" s="72">
        <v>15</v>
      </c>
      <c r="M57" s="72">
        <v>14.7</v>
      </c>
      <c r="N57" s="72">
        <v>14.7</v>
      </c>
      <c r="O57" s="72">
        <v>14.7</v>
      </c>
      <c r="P57" s="72">
        <v>14.7</v>
      </c>
      <c r="Q57" s="72">
        <v>14.7</v>
      </c>
      <c r="R57" s="72">
        <v>14.7</v>
      </c>
      <c r="S57" s="50">
        <v>15</v>
      </c>
      <c r="T57" s="50">
        <v>15</v>
      </c>
      <c r="U57" s="50">
        <v>15</v>
      </c>
      <c r="V57" s="50">
        <v>15</v>
      </c>
      <c r="W57" s="50">
        <v>15</v>
      </c>
      <c r="X57" s="50">
        <v>15</v>
      </c>
      <c r="Y57" s="50">
        <v>15</v>
      </c>
      <c r="Z57" s="50">
        <v>25.3</v>
      </c>
      <c r="AA57" s="50">
        <v>28</v>
      </c>
      <c r="AB57" s="50">
        <v>18</v>
      </c>
      <c r="AC57" s="50">
        <v>18</v>
      </c>
      <c r="AD57" s="50">
        <v>18</v>
      </c>
      <c r="AE57" s="50">
        <v>0</v>
      </c>
      <c r="AF57" s="72">
        <v>0</v>
      </c>
      <c r="AG57" s="61">
        <v>30</v>
      </c>
      <c r="AH57" s="52">
        <f t="shared" si="2"/>
        <v>28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72">
        <v>6.4</v>
      </c>
      <c r="N58" s="72">
        <v>6.2</v>
      </c>
      <c r="O58" s="72">
        <v>6.2</v>
      </c>
      <c r="P58" s="72">
        <v>12.2</v>
      </c>
      <c r="Q58" s="72">
        <v>12.2</v>
      </c>
      <c r="R58" s="72">
        <v>9.8000000000000007</v>
      </c>
      <c r="S58" s="50">
        <v>11.6</v>
      </c>
      <c r="T58" s="50">
        <v>7.1</v>
      </c>
      <c r="U58" s="50">
        <v>2</v>
      </c>
      <c r="V58" s="50">
        <v>1.5</v>
      </c>
      <c r="W58" s="50">
        <v>0.8</v>
      </c>
      <c r="X58" s="50">
        <v>0.8</v>
      </c>
      <c r="Y58" s="50">
        <v>0.8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12.2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15.5</v>
      </c>
      <c r="C59" s="72">
        <v>15.5</v>
      </c>
      <c r="D59" s="72">
        <v>15.5</v>
      </c>
      <c r="E59" s="72">
        <v>15.5</v>
      </c>
      <c r="F59" s="72">
        <v>15.5</v>
      </c>
      <c r="G59" s="72">
        <v>15.5</v>
      </c>
      <c r="H59" s="72">
        <v>15.5</v>
      </c>
      <c r="I59" s="72">
        <v>15.5</v>
      </c>
      <c r="J59" s="72">
        <v>15.5</v>
      </c>
      <c r="K59" s="72">
        <v>15.5</v>
      </c>
      <c r="L59" s="72">
        <v>15.5</v>
      </c>
      <c r="M59" s="72">
        <v>15.5</v>
      </c>
      <c r="N59" s="72">
        <v>15.52</v>
      </c>
      <c r="O59" s="72">
        <v>15.52</v>
      </c>
      <c r="P59" s="72">
        <v>15.52</v>
      </c>
      <c r="Q59" s="72">
        <v>15.52</v>
      </c>
      <c r="R59" s="72">
        <v>15.52</v>
      </c>
      <c r="S59" s="72">
        <v>15.52</v>
      </c>
      <c r="T59" s="72">
        <v>15.52</v>
      </c>
      <c r="U59" s="72">
        <v>15.52</v>
      </c>
      <c r="V59" s="72">
        <v>13</v>
      </c>
      <c r="W59" s="72">
        <v>13</v>
      </c>
      <c r="X59" s="72">
        <v>13</v>
      </c>
      <c r="Y59" s="72">
        <v>13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15.52</v>
      </c>
      <c r="AI59" s="53">
        <f t="shared" si="3"/>
        <v>13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9.3000000000000007</v>
      </c>
      <c r="C61" s="72">
        <v>9.3000000000000007</v>
      </c>
      <c r="D61" s="72">
        <v>9.3000000000000007</v>
      </c>
      <c r="E61" s="72">
        <v>9.3000000000000007</v>
      </c>
      <c r="F61" s="72">
        <v>9.3000000000000007</v>
      </c>
      <c r="G61" s="72">
        <v>9.3000000000000007</v>
      </c>
      <c r="H61" s="72">
        <v>9.3000000000000007</v>
      </c>
      <c r="I61" s="72">
        <v>9.3000000000000007</v>
      </c>
      <c r="J61" s="72">
        <v>9.3000000000000007</v>
      </c>
      <c r="K61" s="72">
        <v>9.3000000000000007</v>
      </c>
      <c r="L61" s="72">
        <v>9.3000000000000007</v>
      </c>
      <c r="M61" s="72">
        <v>14.9</v>
      </c>
      <c r="N61" s="72">
        <v>12.1</v>
      </c>
      <c r="O61" s="72">
        <v>12.1</v>
      </c>
      <c r="P61" s="72">
        <v>12.1</v>
      </c>
      <c r="Q61" s="72">
        <v>12.1</v>
      </c>
      <c r="R61" s="72">
        <v>12.1</v>
      </c>
      <c r="S61" s="72">
        <v>12.1</v>
      </c>
      <c r="T61" s="72">
        <v>12.1</v>
      </c>
      <c r="U61" s="72">
        <v>12.1</v>
      </c>
      <c r="V61" s="72">
        <v>8.6</v>
      </c>
      <c r="W61" s="72">
        <v>8.6</v>
      </c>
      <c r="X61" s="72">
        <v>8.6</v>
      </c>
      <c r="Y61" s="72">
        <v>8.6</v>
      </c>
      <c r="Z61" s="72">
        <v>8.6</v>
      </c>
      <c r="AA61" s="72">
        <v>9.8000000000000007</v>
      </c>
      <c r="AB61" s="72">
        <v>9.8000000000000007</v>
      </c>
      <c r="AC61" s="72">
        <v>9.8000000000000007</v>
      </c>
      <c r="AD61" s="72">
        <v>9.8000000000000007</v>
      </c>
      <c r="AE61" s="72">
        <v>9.8000000000000007</v>
      </c>
      <c r="AF61" s="72">
        <v>9.8000000000000007</v>
      </c>
      <c r="AG61" s="61">
        <v>14.1</v>
      </c>
      <c r="AH61" s="52">
        <f t="shared" si="2"/>
        <v>14.9</v>
      </c>
      <c r="AI61" s="53">
        <f t="shared" si="3"/>
        <v>8.6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0</v>
      </c>
      <c r="C62" s="72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7.1</v>
      </c>
      <c r="N62" s="72">
        <v>7.1</v>
      </c>
      <c r="O62" s="72">
        <v>7.1</v>
      </c>
      <c r="P62" s="72">
        <v>7.1</v>
      </c>
      <c r="Q62" s="72">
        <v>7.1</v>
      </c>
      <c r="R62" s="72">
        <v>7.1</v>
      </c>
      <c r="S62" s="72">
        <v>7.1</v>
      </c>
      <c r="T62" s="72">
        <v>7.1</v>
      </c>
      <c r="U62" s="72">
        <v>6</v>
      </c>
      <c r="V62" s="72">
        <v>7</v>
      </c>
      <c r="W62" s="72">
        <v>7</v>
      </c>
      <c r="X62" s="72">
        <v>7</v>
      </c>
      <c r="Y62" s="72">
        <v>7</v>
      </c>
      <c r="Z62" s="72">
        <v>7</v>
      </c>
      <c r="AA62" s="72">
        <v>7</v>
      </c>
      <c r="AB62" s="72">
        <v>7</v>
      </c>
      <c r="AC62" s="72">
        <v>7</v>
      </c>
      <c r="AD62" s="72">
        <v>7</v>
      </c>
      <c r="AE62" s="72">
        <v>7</v>
      </c>
      <c r="AF62" s="72">
        <v>7</v>
      </c>
      <c r="AG62" s="61">
        <v>14</v>
      </c>
      <c r="AH62" s="52">
        <f t="shared" si="2"/>
        <v>7.1</v>
      </c>
      <c r="AI62" s="53">
        <f t="shared" si="3"/>
        <v>0</v>
      </c>
      <c r="AK62" s="54"/>
    </row>
    <row r="63" spans="1:41" x14ac:dyDescent="0.25">
      <c r="A63" s="60" t="s">
        <v>71</v>
      </c>
      <c r="B63" s="72">
        <v>3</v>
      </c>
      <c r="C63" s="72">
        <v>3</v>
      </c>
      <c r="D63" s="72">
        <v>3</v>
      </c>
      <c r="E63" s="72">
        <v>3</v>
      </c>
      <c r="F63" s="72">
        <v>3</v>
      </c>
      <c r="G63" s="72">
        <v>3</v>
      </c>
      <c r="H63" s="72">
        <v>3</v>
      </c>
      <c r="I63" s="72">
        <v>3</v>
      </c>
      <c r="J63" s="72">
        <v>3</v>
      </c>
      <c r="K63" s="72">
        <v>3</v>
      </c>
      <c r="L63" s="72">
        <v>3</v>
      </c>
      <c r="M63" s="72">
        <v>3</v>
      </c>
      <c r="N63" s="72">
        <v>3</v>
      </c>
      <c r="O63" s="72">
        <v>3</v>
      </c>
      <c r="P63" s="72">
        <v>3</v>
      </c>
      <c r="Q63" s="72">
        <v>3</v>
      </c>
      <c r="R63" s="72">
        <v>3</v>
      </c>
      <c r="S63" s="72">
        <v>3</v>
      </c>
      <c r="T63" s="72">
        <v>3</v>
      </c>
      <c r="U63" s="72">
        <v>3</v>
      </c>
      <c r="V63" s="72">
        <v>3</v>
      </c>
      <c r="W63" s="72">
        <v>3</v>
      </c>
      <c r="X63" s="72">
        <v>3</v>
      </c>
      <c r="Y63" s="72">
        <v>3</v>
      </c>
      <c r="Z63" s="72">
        <v>3</v>
      </c>
      <c r="AA63" s="72">
        <v>3</v>
      </c>
      <c r="AB63" s="72">
        <v>3</v>
      </c>
      <c r="AC63" s="72">
        <v>3</v>
      </c>
      <c r="AD63" s="72">
        <v>3</v>
      </c>
      <c r="AE63" s="72">
        <v>3</v>
      </c>
      <c r="AF63" s="72">
        <v>3</v>
      </c>
      <c r="AG63" s="61">
        <v>10.050000000000001</v>
      </c>
      <c r="AH63" s="52">
        <f t="shared" si="2"/>
        <v>3</v>
      </c>
      <c r="AI63" s="53">
        <f t="shared" si="3"/>
        <v>3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:AG66" si="13">SUM(B53:B65)</f>
        <v>128.94</v>
      </c>
      <c r="C66" s="67">
        <f t="shared" si="13"/>
        <v>122.34</v>
      </c>
      <c r="D66" s="67">
        <f t="shared" si="13"/>
        <v>112.74000000000001</v>
      </c>
      <c r="E66" s="67">
        <f t="shared" ref="E66:F66" si="14">SUM(E53:E65)</f>
        <v>112.74000000000001</v>
      </c>
      <c r="F66" s="67">
        <f t="shared" si="14"/>
        <v>136.94</v>
      </c>
      <c r="G66" s="67">
        <f t="shared" si="13"/>
        <v>157.34</v>
      </c>
      <c r="H66" s="67">
        <f t="shared" si="13"/>
        <v>169.34</v>
      </c>
      <c r="I66" s="67">
        <f t="shared" si="13"/>
        <v>169.34</v>
      </c>
      <c r="J66" s="67">
        <f t="shared" ref="J66:L66" si="15">SUM(J53:J65)</f>
        <v>147.94</v>
      </c>
      <c r="K66" s="67">
        <f t="shared" si="15"/>
        <v>140.34</v>
      </c>
      <c r="L66" s="67">
        <f t="shared" si="15"/>
        <v>151.34</v>
      </c>
      <c r="M66" s="67">
        <f t="shared" si="13"/>
        <v>191.94</v>
      </c>
      <c r="N66" s="67">
        <f t="shared" si="13"/>
        <v>190.95999999999998</v>
      </c>
      <c r="O66" s="67">
        <f t="shared" si="13"/>
        <v>185.15999999999997</v>
      </c>
      <c r="P66" s="67">
        <f t="shared" si="13"/>
        <v>241.75999999999996</v>
      </c>
      <c r="Q66" s="67">
        <f t="shared" si="13"/>
        <v>266.76000000000005</v>
      </c>
      <c r="R66" s="67">
        <f t="shared" si="13"/>
        <v>253.16</v>
      </c>
      <c r="S66" s="67">
        <f t="shared" si="13"/>
        <v>284.06000000000006</v>
      </c>
      <c r="T66" s="67">
        <f t="shared" si="13"/>
        <v>251.55999999999997</v>
      </c>
      <c r="U66" s="67">
        <f t="shared" si="13"/>
        <v>245.85999999999999</v>
      </c>
      <c r="V66" s="67">
        <f t="shared" si="13"/>
        <v>254.04000000000002</v>
      </c>
      <c r="W66" s="67">
        <f t="shared" si="13"/>
        <v>251.64</v>
      </c>
      <c r="X66" s="67">
        <f t="shared" si="13"/>
        <v>253.94</v>
      </c>
      <c r="Y66" s="67">
        <f t="shared" si="13"/>
        <v>252.83999999999997</v>
      </c>
      <c r="Z66" s="67">
        <f t="shared" si="13"/>
        <v>326.84000000000003</v>
      </c>
      <c r="AA66" s="67">
        <f t="shared" si="13"/>
        <v>363.34000000000003</v>
      </c>
      <c r="AB66" s="67">
        <f t="shared" si="13"/>
        <v>329.34000000000003</v>
      </c>
      <c r="AC66" s="67">
        <f t="shared" si="13"/>
        <v>329.34000000000003</v>
      </c>
      <c r="AD66" s="67">
        <f t="shared" si="13"/>
        <v>329.34000000000003</v>
      </c>
      <c r="AE66" s="67">
        <f t="shared" si="13"/>
        <v>277.34000000000003</v>
      </c>
      <c r="AF66" s="67">
        <f t="shared" si="13"/>
        <v>221.34</v>
      </c>
      <c r="AG66" s="68">
        <f t="shared" si="13"/>
        <v>489.91</v>
      </c>
      <c r="AH66" s="52">
        <f t="shared" si="2"/>
        <v>363.34000000000003</v>
      </c>
      <c r="AI66" s="53">
        <f t="shared" si="3"/>
        <v>112.74000000000001</v>
      </c>
      <c r="AK66" s="54"/>
    </row>
    <row r="67" spans="1:40" x14ac:dyDescent="0.25">
      <c r="A67" s="49" t="s">
        <v>75</v>
      </c>
      <c r="B67" s="50">
        <v>60</v>
      </c>
      <c r="C67" s="50">
        <v>60</v>
      </c>
      <c r="D67" s="50">
        <v>60</v>
      </c>
      <c r="E67" s="50">
        <v>60</v>
      </c>
      <c r="F67" s="50">
        <v>60</v>
      </c>
      <c r="G67" s="50">
        <v>60</v>
      </c>
      <c r="H67" s="50">
        <v>60</v>
      </c>
      <c r="I67" s="50">
        <v>60</v>
      </c>
      <c r="J67" s="50">
        <v>60</v>
      </c>
      <c r="K67" s="50">
        <v>60</v>
      </c>
      <c r="L67" s="50">
        <v>60</v>
      </c>
      <c r="M67" s="50">
        <v>60</v>
      </c>
      <c r="N67" s="50">
        <v>60</v>
      </c>
      <c r="O67" s="50">
        <v>60</v>
      </c>
      <c r="P67" s="50">
        <v>50</v>
      </c>
      <c r="Q67" s="50">
        <v>50</v>
      </c>
      <c r="R67" s="50">
        <v>50</v>
      </c>
      <c r="S67" s="50">
        <v>40</v>
      </c>
      <c r="T67" s="50">
        <v>50</v>
      </c>
      <c r="U67" s="50">
        <v>55</v>
      </c>
      <c r="V67" s="50">
        <v>45</v>
      </c>
      <c r="W67" s="50">
        <v>50</v>
      </c>
      <c r="X67" s="50">
        <v>50</v>
      </c>
      <c r="Y67" s="50">
        <v>40</v>
      </c>
      <c r="Z67" s="50">
        <v>50</v>
      </c>
      <c r="AA67" s="50">
        <v>50</v>
      </c>
      <c r="AB67" s="50">
        <v>50</v>
      </c>
      <c r="AC67" s="50">
        <v>50</v>
      </c>
      <c r="AD67" s="50">
        <v>50</v>
      </c>
      <c r="AE67" s="50">
        <v>50</v>
      </c>
      <c r="AF67" s="50">
        <v>40</v>
      </c>
      <c r="AG67" s="56">
        <v>60</v>
      </c>
      <c r="AH67" s="52">
        <f t="shared" si="2"/>
        <v>60</v>
      </c>
      <c r="AI67" s="53">
        <f t="shared" si="3"/>
        <v>40</v>
      </c>
      <c r="AK67" s="54"/>
    </row>
    <row r="68" spans="1:40" x14ac:dyDescent="0.25">
      <c r="A68" s="60" t="s">
        <v>76</v>
      </c>
      <c r="B68" s="72">
        <v>28</v>
      </c>
      <c r="C68" s="72">
        <v>28</v>
      </c>
      <c r="D68" s="72">
        <v>28</v>
      </c>
      <c r="E68" s="72">
        <v>28</v>
      </c>
      <c r="F68" s="72">
        <v>28</v>
      </c>
      <c r="G68" s="72">
        <v>28</v>
      </c>
      <c r="H68" s="72">
        <v>28</v>
      </c>
      <c r="I68" s="72">
        <v>28</v>
      </c>
      <c r="J68" s="72">
        <v>28</v>
      </c>
      <c r="K68" s="72">
        <v>28</v>
      </c>
      <c r="L68" s="72">
        <v>28</v>
      </c>
      <c r="M68" s="72">
        <v>29.3</v>
      </c>
      <c r="N68" s="72">
        <v>29.3</v>
      </c>
      <c r="O68" s="72">
        <v>29.3</v>
      </c>
      <c r="P68" s="72">
        <v>16.899999999999999</v>
      </c>
      <c r="Q68" s="50">
        <v>22.5</v>
      </c>
      <c r="R68" s="50">
        <v>22.5</v>
      </c>
      <c r="S68" s="72">
        <v>17.899999999999999</v>
      </c>
      <c r="T68" s="72">
        <v>24.3</v>
      </c>
      <c r="U68" s="72">
        <v>27.6</v>
      </c>
      <c r="V68" s="72">
        <v>17.600000000000001</v>
      </c>
      <c r="W68" s="72">
        <v>26.2</v>
      </c>
      <c r="X68" s="72">
        <v>26.2</v>
      </c>
      <c r="Y68" s="72">
        <v>15.4</v>
      </c>
      <c r="Z68" s="72">
        <v>16.8</v>
      </c>
      <c r="AA68" s="72">
        <v>21.8</v>
      </c>
      <c r="AB68" s="72">
        <v>23</v>
      </c>
      <c r="AC68" s="72">
        <v>23</v>
      </c>
      <c r="AD68" s="72">
        <v>23</v>
      </c>
      <c r="AE68" s="72">
        <v>23</v>
      </c>
      <c r="AF68" s="72">
        <v>23</v>
      </c>
      <c r="AG68" s="61">
        <v>32</v>
      </c>
      <c r="AH68" s="52">
        <f t="shared" si="2"/>
        <v>29.3</v>
      </c>
      <c r="AI68" s="53">
        <f t="shared" si="3"/>
        <v>15.4</v>
      </c>
      <c r="AK68" s="54"/>
    </row>
    <row r="69" spans="1:40" ht="15.75" thickBot="1" x14ac:dyDescent="0.3">
      <c r="A69" s="78" t="s">
        <v>77</v>
      </c>
      <c r="B69" s="74">
        <v>10.7</v>
      </c>
      <c r="C69" s="74">
        <v>10.7</v>
      </c>
      <c r="D69" s="74">
        <v>10.7</v>
      </c>
      <c r="E69" s="74">
        <v>10.7</v>
      </c>
      <c r="F69" s="74">
        <v>10.7</v>
      </c>
      <c r="G69" s="74">
        <v>10.7</v>
      </c>
      <c r="H69" s="74">
        <v>10.7</v>
      </c>
      <c r="I69" s="74">
        <v>10.7</v>
      </c>
      <c r="J69" s="74">
        <v>10.7</v>
      </c>
      <c r="K69" s="74">
        <v>10.7</v>
      </c>
      <c r="L69" s="74">
        <v>10.7</v>
      </c>
      <c r="M69" s="74">
        <v>11.5</v>
      </c>
      <c r="N69" s="74">
        <v>11.5</v>
      </c>
      <c r="O69" s="74">
        <v>11.5</v>
      </c>
      <c r="P69" s="74">
        <v>6.2</v>
      </c>
      <c r="Q69" s="50">
        <v>8.1999999999999993</v>
      </c>
      <c r="R69" s="50">
        <v>8.1999999999999993</v>
      </c>
      <c r="S69" s="74">
        <v>6.5</v>
      </c>
      <c r="T69" s="74">
        <v>8.9</v>
      </c>
      <c r="U69" s="74">
        <v>10.1</v>
      </c>
      <c r="V69" s="74">
        <v>6.4</v>
      </c>
      <c r="W69" s="74">
        <v>9.6</v>
      </c>
      <c r="X69" s="74">
        <v>9.6</v>
      </c>
      <c r="Y69" s="74">
        <v>5.6</v>
      </c>
      <c r="Z69" s="74">
        <v>6.1</v>
      </c>
      <c r="AA69" s="74">
        <v>7.9</v>
      </c>
      <c r="AB69" s="74">
        <v>8.4</v>
      </c>
      <c r="AC69" s="74">
        <v>8.4</v>
      </c>
      <c r="AD69" s="74">
        <v>8.4</v>
      </c>
      <c r="AE69" s="74">
        <v>8.4</v>
      </c>
      <c r="AF69" s="74">
        <v>8.4</v>
      </c>
      <c r="AG69" s="75">
        <v>14</v>
      </c>
      <c r="AH69" s="52">
        <f t="shared" si="2"/>
        <v>11.5</v>
      </c>
      <c r="AI69" s="53">
        <f t="shared" si="3"/>
        <v>5.6</v>
      </c>
      <c r="AK69" s="54"/>
    </row>
    <row r="70" spans="1:40" ht="15.75" thickBot="1" x14ac:dyDescent="0.3">
      <c r="A70" s="81" t="s">
        <v>78</v>
      </c>
      <c r="B70" s="67">
        <f>B67+B68+B69</f>
        <v>98.7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67">
        <f t="shared" ref="M70:AF70" si="16">M67+M68+M69</f>
        <v>100.8</v>
      </c>
      <c r="N70" s="67">
        <f t="shared" si="16"/>
        <v>100.8</v>
      </c>
      <c r="O70" s="67">
        <f t="shared" si="16"/>
        <v>100.8</v>
      </c>
      <c r="P70" s="67">
        <f t="shared" si="16"/>
        <v>73.100000000000009</v>
      </c>
      <c r="Q70" s="67">
        <f t="shared" si="16"/>
        <v>80.7</v>
      </c>
      <c r="R70" s="67">
        <f t="shared" si="16"/>
        <v>80.7</v>
      </c>
      <c r="S70" s="67">
        <f t="shared" si="16"/>
        <v>64.400000000000006</v>
      </c>
      <c r="T70" s="67">
        <f t="shared" si="16"/>
        <v>83.2</v>
      </c>
      <c r="U70" s="67">
        <f t="shared" si="16"/>
        <v>92.699999999999989</v>
      </c>
      <c r="V70" s="67">
        <f t="shared" si="16"/>
        <v>69</v>
      </c>
      <c r="W70" s="67">
        <f t="shared" si="16"/>
        <v>85.8</v>
      </c>
      <c r="X70" s="67">
        <f t="shared" si="16"/>
        <v>85.8</v>
      </c>
      <c r="Y70" s="67">
        <f t="shared" si="16"/>
        <v>61</v>
      </c>
      <c r="Z70" s="67">
        <f t="shared" si="16"/>
        <v>72.899999999999991</v>
      </c>
      <c r="AA70" s="67">
        <f t="shared" si="16"/>
        <v>79.7</v>
      </c>
      <c r="AB70" s="67">
        <f t="shared" si="16"/>
        <v>81.400000000000006</v>
      </c>
      <c r="AC70" s="67">
        <f t="shared" si="16"/>
        <v>81.400000000000006</v>
      </c>
      <c r="AD70" s="67">
        <f t="shared" si="16"/>
        <v>81.400000000000006</v>
      </c>
      <c r="AE70" s="67">
        <f t="shared" si="16"/>
        <v>81.400000000000006</v>
      </c>
      <c r="AF70" s="67">
        <f t="shared" si="16"/>
        <v>71.400000000000006</v>
      </c>
      <c r="AG70" s="68">
        <f>SUM(AG67:AG69)</f>
        <v>106</v>
      </c>
      <c r="AH70" s="52">
        <f t="shared" si="2"/>
        <v>100.8</v>
      </c>
      <c r="AI70" s="53">
        <f t="shared" si="3"/>
        <v>0</v>
      </c>
      <c r="AK70" s="54"/>
    </row>
    <row r="71" spans="1:40" x14ac:dyDescent="0.25">
      <c r="A71" s="49" t="s">
        <v>79</v>
      </c>
      <c r="B71" s="50">
        <v>70.400000000000006</v>
      </c>
      <c r="C71" s="50">
        <v>70.400000000000006</v>
      </c>
      <c r="D71" s="50">
        <v>77</v>
      </c>
      <c r="E71" s="50">
        <v>72</v>
      </c>
      <c r="F71" s="50">
        <v>70</v>
      </c>
      <c r="G71" s="50">
        <v>60</v>
      </c>
      <c r="H71" s="50">
        <v>58</v>
      </c>
      <c r="I71" s="50">
        <v>58.6</v>
      </c>
      <c r="J71" s="50">
        <v>69</v>
      </c>
      <c r="K71" s="50">
        <v>69</v>
      </c>
      <c r="L71" s="50">
        <v>69</v>
      </c>
      <c r="M71" s="50">
        <v>71.599999999999994</v>
      </c>
      <c r="N71" s="50">
        <v>69.8</v>
      </c>
      <c r="O71" s="50">
        <v>68.5</v>
      </c>
      <c r="P71" s="50">
        <v>69.3</v>
      </c>
      <c r="Q71" s="50">
        <v>71.8</v>
      </c>
      <c r="R71" s="50">
        <v>71.8</v>
      </c>
      <c r="S71" s="50">
        <v>67.7</v>
      </c>
      <c r="T71" s="50">
        <v>52.8</v>
      </c>
      <c r="U71" s="50">
        <v>59.9</v>
      </c>
      <c r="V71" s="50">
        <v>61.9</v>
      </c>
      <c r="W71" s="50">
        <v>65.099999999999994</v>
      </c>
      <c r="X71" s="50">
        <v>58</v>
      </c>
      <c r="Y71" s="50">
        <v>51.8</v>
      </c>
      <c r="Z71" s="50">
        <v>43.6</v>
      </c>
      <c r="AA71" s="50">
        <v>50.1</v>
      </c>
      <c r="AB71" s="50">
        <v>54</v>
      </c>
      <c r="AC71" s="50">
        <v>52</v>
      </c>
      <c r="AD71" s="50">
        <v>52</v>
      </c>
      <c r="AE71" s="50">
        <v>55</v>
      </c>
      <c r="AF71" s="50">
        <v>65</v>
      </c>
      <c r="AG71" s="56"/>
      <c r="AH71" s="52">
        <f t="shared" si="2"/>
        <v>77</v>
      </c>
      <c r="AI71" s="53">
        <f t="shared" si="3"/>
        <v>43.6</v>
      </c>
      <c r="AK71" s="54"/>
    </row>
    <row r="72" spans="1:40" x14ac:dyDescent="0.25">
      <c r="A72" s="60" t="s">
        <v>80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478</v>
      </c>
      <c r="C73" s="72">
        <v>441</v>
      </c>
      <c r="D73" s="72">
        <v>431</v>
      </c>
      <c r="E73" s="72">
        <v>431</v>
      </c>
      <c r="F73" s="72">
        <v>410</v>
      </c>
      <c r="G73" s="72">
        <v>410</v>
      </c>
      <c r="H73" s="72">
        <v>380</v>
      </c>
      <c r="I73" s="72">
        <v>400</v>
      </c>
      <c r="J73" s="72">
        <v>380</v>
      </c>
      <c r="K73" s="72">
        <v>380</v>
      </c>
      <c r="L73" s="72">
        <v>410</v>
      </c>
      <c r="M73" s="72">
        <v>402.6</v>
      </c>
      <c r="N73" s="72">
        <v>393.9</v>
      </c>
      <c r="O73" s="72">
        <v>380</v>
      </c>
      <c r="P73" s="72">
        <v>389</v>
      </c>
      <c r="Q73" s="72">
        <v>394</v>
      </c>
      <c r="R73" s="72">
        <v>394</v>
      </c>
      <c r="S73" s="72">
        <v>420</v>
      </c>
      <c r="T73" s="72">
        <v>438.3</v>
      </c>
      <c r="U73" s="72">
        <v>436.1</v>
      </c>
      <c r="V73" s="72">
        <v>430</v>
      </c>
      <c r="W73" s="72">
        <v>420.9</v>
      </c>
      <c r="X73" s="72">
        <v>350</v>
      </c>
      <c r="Y73" s="72">
        <v>335</v>
      </c>
      <c r="Z73" s="72">
        <v>411</v>
      </c>
      <c r="AA73" s="72">
        <v>373</v>
      </c>
      <c r="AB73" s="72">
        <v>358</v>
      </c>
      <c r="AC73" s="72">
        <v>361</v>
      </c>
      <c r="AD73" s="72">
        <v>361</v>
      </c>
      <c r="AE73" s="72">
        <v>352</v>
      </c>
      <c r="AF73" s="72">
        <v>355</v>
      </c>
      <c r="AG73" s="82"/>
      <c r="AH73" s="52">
        <f t="shared" si="2"/>
        <v>478</v>
      </c>
      <c r="AI73" s="53">
        <f t="shared" si="3"/>
        <v>335</v>
      </c>
      <c r="AK73" s="54"/>
    </row>
    <row r="74" spans="1:40" x14ac:dyDescent="0.25">
      <c r="A74" s="60" t="s">
        <v>82</v>
      </c>
      <c r="B74" s="72">
        <v>59.3</v>
      </c>
      <c r="C74" s="72">
        <v>59.3</v>
      </c>
      <c r="D74" s="72">
        <v>62</v>
      </c>
      <c r="E74" s="72">
        <v>62</v>
      </c>
      <c r="F74" s="72">
        <v>59</v>
      </c>
      <c r="G74" s="72">
        <v>59</v>
      </c>
      <c r="H74" s="72">
        <v>59</v>
      </c>
      <c r="I74" s="72">
        <v>59</v>
      </c>
      <c r="J74" s="72">
        <v>59</v>
      </c>
      <c r="K74" s="72">
        <v>59</v>
      </c>
      <c r="L74" s="72">
        <v>59</v>
      </c>
      <c r="M74" s="83">
        <v>57.7</v>
      </c>
      <c r="N74" s="83">
        <v>56</v>
      </c>
      <c r="O74" s="83">
        <v>58</v>
      </c>
      <c r="P74" s="83">
        <v>53.4</v>
      </c>
      <c r="Q74" s="83">
        <v>57.4</v>
      </c>
      <c r="R74" s="83">
        <v>57.4</v>
      </c>
      <c r="S74" s="83">
        <v>57.8</v>
      </c>
      <c r="T74" s="83">
        <v>52.7</v>
      </c>
      <c r="U74" s="83">
        <v>60</v>
      </c>
      <c r="V74" s="83">
        <v>58.4</v>
      </c>
      <c r="W74" s="83">
        <v>56.4</v>
      </c>
      <c r="X74" s="83">
        <v>54</v>
      </c>
      <c r="Y74" s="72">
        <v>51.7</v>
      </c>
      <c r="Z74" s="72">
        <v>55.1</v>
      </c>
      <c r="AA74" s="72">
        <v>18.399999999999999</v>
      </c>
      <c r="AB74" s="72">
        <v>19</v>
      </c>
      <c r="AC74" s="72">
        <v>19</v>
      </c>
      <c r="AD74" s="72">
        <v>19</v>
      </c>
      <c r="AE74" s="72">
        <v>14</v>
      </c>
      <c r="AF74" s="72">
        <v>16</v>
      </c>
      <c r="AG74" s="82"/>
      <c r="AH74" s="52">
        <f t="shared" si="2"/>
        <v>62</v>
      </c>
      <c r="AI74" s="53">
        <f t="shared" si="3"/>
        <v>14</v>
      </c>
      <c r="AK74" s="54"/>
    </row>
    <row r="75" spans="1:40" x14ac:dyDescent="0.25">
      <c r="A75" s="60" t="s">
        <v>83</v>
      </c>
      <c r="B75" s="50">
        <v>29.5</v>
      </c>
      <c r="C75" s="50">
        <v>28.5</v>
      </c>
      <c r="D75" s="50">
        <v>28.5</v>
      </c>
      <c r="E75" s="50">
        <v>28.5</v>
      </c>
      <c r="F75" s="50">
        <v>28.5</v>
      </c>
      <c r="G75" s="50">
        <v>28.5</v>
      </c>
      <c r="H75" s="50">
        <v>28.5</v>
      </c>
      <c r="I75" s="50">
        <v>28.5</v>
      </c>
      <c r="J75" s="50">
        <v>28.5</v>
      </c>
      <c r="K75" s="50">
        <v>28.5</v>
      </c>
      <c r="L75" s="50">
        <v>28.5</v>
      </c>
      <c r="M75" s="50">
        <v>29.1</v>
      </c>
      <c r="N75" s="50">
        <v>23.1</v>
      </c>
      <c r="O75" s="50">
        <v>22</v>
      </c>
      <c r="P75" s="50">
        <v>27.3</v>
      </c>
      <c r="Q75" s="50">
        <v>27.3</v>
      </c>
      <c r="R75" s="50">
        <v>27.3</v>
      </c>
      <c r="S75" s="50">
        <v>24.7</v>
      </c>
      <c r="T75" s="50">
        <v>23.7</v>
      </c>
      <c r="U75" s="50">
        <v>20.9</v>
      </c>
      <c r="V75" s="50">
        <v>20.2</v>
      </c>
      <c r="W75" s="50">
        <v>19.100000000000001</v>
      </c>
      <c r="X75" s="50">
        <v>20</v>
      </c>
      <c r="Y75" s="50">
        <v>19.5</v>
      </c>
      <c r="Z75" s="50">
        <v>21.2</v>
      </c>
      <c r="AA75" s="50">
        <v>21.2</v>
      </c>
      <c r="AB75" s="50">
        <v>0</v>
      </c>
      <c r="AC75" s="50">
        <v>0</v>
      </c>
      <c r="AD75" s="50">
        <v>0</v>
      </c>
      <c r="AE75" s="50">
        <v>0</v>
      </c>
      <c r="AF75" s="50">
        <v>20</v>
      </c>
      <c r="AG75" s="82"/>
      <c r="AH75" s="52">
        <f t="shared" ref="AH75:AH117" si="17">MAX(B75:AF75)</f>
        <v>29.5</v>
      </c>
      <c r="AI75" s="53">
        <f t="shared" ref="AI75:AI117" si="18">MIN(B75:AF75)</f>
        <v>0</v>
      </c>
      <c r="AK75" s="54"/>
    </row>
    <row r="76" spans="1:40" x14ac:dyDescent="0.25">
      <c r="A76" s="60" t="s">
        <v>84</v>
      </c>
      <c r="B76" s="84">
        <v>7</v>
      </c>
      <c r="C76" s="84">
        <v>7</v>
      </c>
      <c r="D76" s="84">
        <v>7</v>
      </c>
      <c r="E76" s="84">
        <v>7</v>
      </c>
      <c r="F76" s="84">
        <v>7</v>
      </c>
      <c r="G76" s="84">
        <v>7</v>
      </c>
      <c r="H76" s="84">
        <v>7</v>
      </c>
      <c r="I76" s="84">
        <v>7</v>
      </c>
      <c r="J76" s="84">
        <v>7</v>
      </c>
      <c r="K76" s="84">
        <v>7</v>
      </c>
      <c r="L76" s="84">
        <v>7</v>
      </c>
      <c r="M76" s="84">
        <v>7</v>
      </c>
      <c r="N76" s="84">
        <v>7</v>
      </c>
      <c r="O76" s="84">
        <v>7</v>
      </c>
      <c r="P76" s="84">
        <v>7</v>
      </c>
      <c r="Q76" s="84">
        <v>7</v>
      </c>
      <c r="R76" s="84">
        <v>7</v>
      </c>
      <c r="S76" s="84">
        <v>7</v>
      </c>
      <c r="T76" s="84">
        <v>7</v>
      </c>
      <c r="U76" s="84">
        <v>6</v>
      </c>
      <c r="V76" s="84">
        <v>6</v>
      </c>
      <c r="W76" s="84">
        <v>6</v>
      </c>
      <c r="X76" s="84">
        <v>6</v>
      </c>
      <c r="Y76" s="84">
        <v>6</v>
      </c>
      <c r="Z76" s="84">
        <v>7</v>
      </c>
      <c r="AA76" s="84">
        <v>7</v>
      </c>
      <c r="AB76" s="84">
        <v>7</v>
      </c>
      <c r="AC76" s="84">
        <v>7</v>
      </c>
      <c r="AD76" s="84">
        <v>7</v>
      </c>
      <c r="AE76" s="84">
        <v>7</v>
      </c>
      <c r="AF76" s="84">
        <v>7</v>
      </c>
      <c r="AG76" s="82"/>
      <c r="AH76" s="52">
        <f t="shared" si="17"/>
        <v>7</v>
      </c>
      <c r="AI76" s="53">
        <f t="shared" si="18"/>
        <v>6</v>
      </c>
      <c r="AK76" s="54"/>
    </row>
    <row r="77" spans="1:40" ht="15.75" thickBot="1" x14ac:dyDescent="0.3">
      <c r="A77" s="60" t="s">
        <v>85</v>
      </c>
      <c r="B77" s="84">
        <v>5</v>
      </c>
      <c r="C77" s="84">
        <v>5</v>
      </c>
      <c r="D77" s="84">
        <v>5</v>
      </c>
      <c r="E77" s="84">
        <v>5</v>
      </c>
      <c r="F77" s="84">
        <v>5</v>
      </c>
      <c r="G77" s="84">
        <v>5</v>
      </c>
      <c r="H77" s="84">
        <v>5</v>
      </c>
      <c r="I77" s="84">
        <v>5</v>
      </c>
      <c r="J77" s="84">
        <v>5</v>
      </c>
      <c r="K77" s="84">
        <v>5</v>
      </c>
      <c r="L77" s="84">
        <v>5</v>
      </c>
      <c r="M77" s="84">
        <v>5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7"/>
        <v>5</v>
      </c>
      <c r="AI77" s="53">
        <f t="shared" si="18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7"/>
        <v>0</v>
      </c>
      <c r="AI78" s="53">
        <f t="shared" si="18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>
        <v>5</v>
      </c>
      <c r="C79" s="84">
        <v>5</v>
      </c>
      <c r="D79" s="84">
        <v>5</v>
      </c>
      <c r="E79" s="84">
        <v>5</v>
      </c>
      <c r="F79" s="84">
        <v>5</v>
      </c>
      <c r="G79" s="84">
        <v>5</v>
      </c>
      <c r="H79" s="84">
        <v>5</v>
      </c>
      <c r="I79" s="84">
        <v>5</v>
      </c>
      <c r="J79" s="84">
        <v>5</v>
      </c>
      <c r="K79" s="84">
        <v>5</v>
      </c>
      <c r="L79" s="84">
        <v>5</v>
      </c>
      <c r="M79" s="84">
        <v>5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5</v>
      </c>
      <c r="AB79" s="84">
        <v>5</v>
      </c>
      <c r="AC79" s="84">
        <v>5</v>
      </c>
      <c r="AD79" s="84">
        <v>5</v>
      </c>
      <c r="AE79" s="84">
        <v>0</v>
      </c>
      <c r="AF79" s="84">
        <v>0</v>
      </c>
      <c r="AG79" s="82"/>
      <c r="AH79" s="52">
        <f t="shared" si="17"/>
        <v>5</v>
      </c>
      <c r="AI79" s="53">
        <f t="shared" si="18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7"/>
        <v>0</v>
      </c>
      <c r="AI80" s="53">
        <f t="shared" si="18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7"/>
        <v>0</v>
      </c>
      <c r="AI81" s="53">
        <f t="shared" si="18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:AF82" si="19">SUMIF(B71:B81,"&gt;0")</f>
        <v>654.19999999999993</v>
      </c>
      <c r="C82" s="67">
        <f t="shared" si="19"/>
        <v>616.19999999999993</v>
      </c>
      <c r="D82" s="67">
        <f t="shared" si="19"/>
        <v>615.5</v>
      </c>
      <c r="E82" s="67">
        <f t="shared" si="19"/>
        <v>610.5</v>
      </c>
      <c r="F82" s="67">
        <f t="shared" si="19"/>
        <v>584.5</v>
      </c>
      <c r="G82" s="67">
        <f t="shared" si="19"/>
        <v>574.5</v>
      </c>
      <c r="H82" s="67">
        <f t="shared" si="19"/>
        <v>542.5</v>
      </c>
      <c r="I82" s="67">
        <f t="shared" si="19"/>
        <v>563.1</v>
      </c>
      <c r="J82" s="67">
        <f t="shared" ref="J82:L82" si="20">SUMIF(J71:J81,"&gt;0")</f>
        <v>553.5</v>
      </c>
      <c r="K82" s="67">
        <f t="shared" si="20"/>
        <v>553.5</v>
      </c>
      <c r="L82" s="67">
        <f t="shared" si="20"/>
        <v>583.5</v>
      </c>
      <c r="M82" s="67">
        <f t="shared" si="19"/>
        <v>578.00000000000011</v>
      </c>
      <c r="N82" s="67">
        <f t="shared" si="19"/>
        <v>549.80000000000007</v>
      </c>
      <c r="O82" s="67">
        <f t="shared" si="19"/>
        <v>535.5</v>
      </c>
      <c r="P82" s="67">
        <f t="shared" si="19"/>
        <v>546</v>
      </c>
      <c r="Q82" s="67">
        <f t="shared" si="19"/>
        <v>557.5</v>
      </c>
      <c r="R82" s="67">
        <f t="shared" si="19"/>
        <v>557.5</v>
      </c>
      <c r="S82" s="67">
        <f t="shared" si="19"/>
        <v>577.20000000000005</v>
      </c>
      <c r="T82" s="67">
        <f t="shared" si="19"/>
        <v>574.50000000000011</v>
      </c>
      <c r="U82" s="67">
        <f t="shared" si="19"/>
        <v>582.9</v>
      </c>
      <c r="V82" s="67">
        <f t="shared" si="19"/>
        <v>576.5</v>
      </c>
      <c r="W82" s="67">
        <f t="shared" si="19"/>
        <v>567.5</v>
      </c>
      <c r="X82" s="67">
        <f t="shared" si="19"/>
        <v>488</v>
      </c>
      <c r="Y82" s="67">
        <f t="shared" si="19"/>
        <v>464</v>
      </c>
      <c r="Z82" s="67">
        <f t="shared" si="19"/>
        <v>537.90000000000009</v>
      </c>
      <c r="AA82" s="67">
        <f t="shared" si="19"/>
        <v>474.7</v>
      </c>
      <c r="AB82" s="67">
        <f t="shared" si="19"/>
        <v>443</v>
      </c>
      <c r="AC82" s="67">
        <f t="shared" si="19"/>
        <v>444</v>
      </c>
      <c r="AD82" s="67">
        <f t="shared" si="19"/>
        <v>444</v>
      </c>
      <c r="AE82" s="67">
        <f t="shared" si="19"/>
        <v>428</v>
      </c>
      <c r="AF82" s="67">
        <f t="shared" si="19"/>
        <v>463</v>
      </c>
      <c r="AG82" s="95">
        <f>SUM(AG71:AG81)</f>
        <v>0</v>
      </c>
      <c r="AH82" s="52">
        <f t="shared" si="17"/>
        <v>654.19999999999993</v>
      </c>
      <c r="AI82" s="53">
        <f t="shared" si="18"/>
        <v>428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7"/>
        <v>0</v>
      </c>
      <c r="AI83" s="53">
        <f t="shared" si="18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7"/>
        <v>0</v>
      </c>
      <c r="AI84" s="53">
        <f t="shared" si="18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7"/>
        <v>0</v>
      </c>
      <c r="AI85" s="53">
        <f t="shared" si="18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7"/>
        <v>0</v>
      </c>
      <c r="AI86" s="53">
        <f t="shared" si="18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:AG87" si="21">B48+B52+B70+B66+B82+B86</f>
        <v>1369.6399999999999</v>
      </c>
      <c r="C87" s="102">
        <f t="shared" si="21"/>
        <v>1226.3399999999999</v>
      </c>
      <c r="D87" s="102">
        <f t="shared" si="21"/>
        <v>1216.04</v>
      </c>
      <c r="E87" s="102">
        <f t="shared" si="21"/>
        <v>1211.04</v>
      </c>
      <c r="F87" s="102">
        <f t="shared" si="21"/>
        <v>1209.24</v>
      </c>
      <c r="G87" s="102">
        <f t="shared" si="21"/>
        <v>1229.6399999999999</v>
      </c>
      <c r="H87" s="102">
        <f t="shared" si="21"/>
        <v>1189.6399999999999</v>
      </c>
      <c r="I87" s="102">
        <f t="shared" si="21"/>
        <v>1190.24</v>
      </c>
      <c r="J87" s="102">
        <f t="shared" ref="J87:L87" si="22">J48+J52+J70+J66+J82+J86</f>
        <v>1169.24</v>
      </c>
      <c r="K87" s="102">
        <f t="shared" si="22"/>
        <v>1161.6399999999999</v>
      </c>
      <c r="L87" s="102">
        <f t="shared" si="22"/>
        <v>1202.6399999999999</v>
      </c>
      <c r="M87" s="102">
        <f t="shared" si="21"/>
        <v>1361.1399999999999</v>
      </c>
      <c r="N87" s="102">
        <f t="shared" si="21"/>
        <v>1343.8600000000001</v>
      </c>
      <c r="O87" s="102">
        <f t="shared" si="21"/>
        <v>1325.7599999999998</v>
      </c>
      <c r="P87" s="102">
        <f t="shared" si="21"/>
        <v>1365.1599999999999</v>
      </c>
      <c r="Q87" s="102">
        <f t="shared" si="21"/>
        <v>1404.26</v>
      </c>
      <c r="R87" s="102">
        <f t="shared" si="21"/>
        <v>1396.6599999999999</v>
      </c>
      <c r="S87" s="102">
        <f t="shared" si="21"/>
        <v>1430.96</v>
      </c>
      <c r="T87" s="102">
        <f t="shared" si="21"/>
        <v>1363.6599999999999</v>
      </c>
      <c r="U87" s="102">
        <f t="shared" si="21"/>
        <v>1385.86</v>
      </c>
      <c r="V87" s="102">
        <f t="shared" si="21"/>
        <v>1353.9399999999998</v>
      </c>
      <c r="W87" s="102">
        <f t="shared" si="21"/>
        <v>1359.34</v>
      </c>
      <c r="X87" s="102">
        <f t="shared" si="21"/>
        <v>1322.1399999999999</v>
      </c>
      <c r="Y87" s="102">
        <f t="shared" si="21"/>
        <v>1312.2399999999998</v>
      </c>
      <c r="Z87" s="102">
        <f t="shared" si="21"/>
        <v>1442.04</v>
      </c>
      <c r="AA87" s="102">
        <f t="shared" si="21"/>
        <v>1481.14</v>
      </c>
      <c r="AB87" s="102">
        <f t="shared" si="21"/>
        <v>1417.1399999999999</v>
      </c>
      <c r="AC87" s="102">
        <f t="shared" si="21"/>
        <v>1428.1399999999999</v>
      </c>
      <c r="AD87" s="102">
        <f t="shared" si="21"/>
        <v>1379.1399999999999</v>
      </c>
      <c r="AE87" s="102">
        <f t="shared" si="21"/>
        <v>1331.1399999999999</v>
      </c>
      <c r="AF87" s="102">
        <f t="shared" si="21"/>
        <v>1300.1399999999999</v>
      </c>
      <c r="AG87" s="68">
        <f t="shared" si="21"/>
        <v>2065.09</v>
      </c>
      <c r="AH87" s="52">
        <f>MAX(B87:AF87)</f>
        <v>1481.14</v>
      </c>
      <c r="AI87" s="53">
        <f>MIN(B87:AF87)</f>
        <v>1161.6399999999999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>
        <v>100</v>
      </c>
      <c r="M88" s="104">
        <v>100</v>
      </c>
      <c r="N88" s="104">
        <v>100</v>
      </c>
      <c r="O88" s="104">
        <v>100</v>
      </c>
      <c r="P88" s="104">
        <v>100</v>
      </c>
      <c r="Q88" s="104"/>
      <c r="R88" s="104"/>
      <c r="S88" s="104"/>
      <c r="T88" s="104"/>
      <c r="U88" s="104"/>
      <c r="V88" s="104"/>
      <c r="W88" s="104"/>
      <c r="X88" s="104"/>
      <c r="Y88" s="104">
        <v>100</v>
      </c>
      <c r="Z88" s="104">
        <v>50</v>
      </c>
      <c r="AA88" s="104">
        <v>50</v>
      </c>
      <c r="AB88" s="104">
        <v>50</v>
      </c>
      <c r="AC88" s="104">
        <v>0</v>
      </c>
      <c r="AD88" s="104"/>
      <c r="AE88" s="104"/>
      <c r="AF88" s="104"/>
      <c r="AG88" s="95"/>
      <c r="AH88" s="52">
        <f t="shared" si="17"/>
        <v>100</v>
      </c>
      <c r="AI88" s="53">
        <f t="shared" si="18"/>
        <v>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:AF89" si="23">B87+B88</f>
        <v>1369.6399999999999</v>
      </c>
      <c r="C89" s="102">
        <f t="shared" si="23"/>
        <v>1226.3399999999999</v>
      </c>
      <c r="D89" s="102">
        <f t="shared" si="23"/>
        <v>1216.04</v>
      </c>
      <c r="E89" s="102">
        <f t="shared" si="23"/>
        <v>1211.04</v>
      </c>
      <c r="F89" s="102">
        <f t="shared" si="23"/>
        <v>1209.24</v>
      </c>
      <c r="G89" s="102">
        <f t="shared" si="23"/>
        <v>1229.6399999999999</v>
      </c>
      <c r="H89" s="102">
        <f t="shared" si="23"/>
        <v>1189.6399999999999</v>
      </c>
      <c r="I89" s="102">
        <f t="shared" si="23"/>
        <v>1190.24</v>
      </c>
      <c r="J89" s="102">
        <f t="shared" ref="J89:L89" si="24">J87+J88</f>
        <v>1169.24</v>
      </c>
      <c r="K89" s="102">
        <f t="shared" si="24"/>
        <v>1161.6399999999999</v>
      </c>
      <c r="L89" s="102">
        <f t="shared" si="24"/>
        <v>1302.6399999999999</v>
      </c>
      <c r="M89" s="102">
        <f t="shared" si="23"/>
        <v>1461.1399999999999</v>
      </c>
      <c r="N89" s="102">
        <f t="shared" si="23"/>
        <v>1443.8600000000001</v>
      </c>
      <c r="O89" s="102">
        <f t="shared" si="23"/>
        <v>1425.7599999999998</v>
      </c>
      <c r="P89" s="102">
        <f t="shared" si="23"/>
        <v>1465.1599999999999</v>
      </c>
      <c r="Q89" s="102">
        <f t="shared" si="23"/>
        <v>1404.26</v>
      </c>
      <c r="R89" s="102">
        <f t="shared" si="23"/>
        <v>1396.6599999999999</v>
      </c>
      <c r="S89" s="102">
        <f t="shared" si="23"/>
        <v>1430.96</v>
      </c>
      <c r="T89" s="102">
        <f t="shared" si="23"/>
        <v>1363.6599999999999</v>
      </c>
      <c r="U89" s="102">
        <f t="shared" si="23"/>
        <v>1385.86</v>
      </c>
      <c r="V89" s="102">
        <f t="shared" si="23"/>
        <v>1353.9399999999998</v>
      </c>
      <c r="W89" s="102">
        <f t="shared" si="23"/>
        <v>1359.34</v>
      </c>
      <c r="X89" s="102">
        <f t="shared" si="23"/>
        <v>1322.1399999999999</v>
      </c>
      <c r="Y89" s="102">
        <f t="shared" si="23"/>
        <v>1412.2399999999998</v>
      </c>
      <c r="Z89" s="102">
        <f t="shared" si="23"/>
        <v>1492.04</v>
      </c>
      <c r="AA89" s="102">
        <f t="shared" si="23"/>
        <v>1531.14</v>
      </c>
      <c r="AB89" s="102">
        <f t="shared" si="23"/>
        <v>1467.1399999999999</v>
      </c>
      <c r="AC89" s="102">
        <f t="shared" si="23"/>
        <v>1428.1399999999999</v>
      </c>
      <c r="AD89" s="102">
        <f t="shared" si="23"/>
        <v>1379.1399999999999</v>
      </c>
      <c r="AE89" s="102">
        <f t="shared" si="23"/>
        <v>1331.1399999999999</v>
      </c>
      <c r="AF89" s="102">
        <f t="shared" si="23"/>
        <v>1300.1399999999999</v>
      </c>
      <c r="AG89" s="95">
        <f>AG86+AG82+AG70+AG66+AG48+AG88</f>
        <v>1526.99</v>
      </c>
      <c r="AH89" s="52">
        <f t="shared" si="17"/>
        <v>1531.14</v>
      </c>
      <c r="AI89" s="53">
        <f t="shared" si="18"/>
        <v>1161.6399999999999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:AF90" si="25">B89-B97</f>
        <v>1369.6399999999999</v>
      </c>
      <c r="C90" s="102">
        <f t="shared" si="25"/>
        <v>1226.3399999999999</v>
      </c>
      <c r="D90" s="102">
        <f t="shared" si="25"/>
        <v>1216.04</v>
      </c>
      <c r="E90" s="102">
        <f t="shared" si="25"/>
        <v>1211.04</v>
      </c>
      <c r="F90" s="102">
        <f t="shared" si="25"/>
        <v>1209.24</v>
      </c>
      <c r="G90" s="102">
        <f t="shared" si="25"/>
        <v>1229.6399999999999</v>
      </c>
      <c r="H90" s="102">
        <f t="shared" si="25"/>
        <v>1189.6399999999999</v>
      </c>
      <c r="I90" s="102">
        <f t="shared" si="25"/>
        <v>1190.24</v>
      </c>
      <c r="J90" s="102">
        <f t="shared" ref="J90:L90" si="26">J89-J97</f>
        <v>1169.24</v>
      </c>
      <c r="K90" s="102">
        <f t="shared" si="26"/>
        <v>1161.6399999999999</v>
      </c>
      <c r="L90" s="102">
        <f t="shared" si="26"/>
        <v>1302.6399999999999</v>
      </c>
      <c r="M90" s="102">
        <f t="shared" si="25"/>
        <v>1461.1399999999999</v>
      </c>
      <c r="N90" s="102">
        <f t="shared" si="25"/>
        <v>1443.8600000000001</v>
      </c>
      <c r="O90" s="102">
        <f t="shared" si="25"/>
        <v>1425.7599999999998</v>
      </c>
      <c r="P90" s="102">
        <f t="shared" si="25"/>
        <v>1465.1599999999999</v>
      </c>
      <c r="Q90" s="102">
        <f t="shared" si="25"/>
        <v>1404.26</v>
      </c>
      <c r="R90" s="102">
        <f t="shared" si="25"/>
        <v>1396.6599999999999</v>
      </c>
      <c r="S90" s="102">
        <f t="shared" si="25"/>
        <v>1430.96</v>
      </c>
      <c r="T90" s="102">
        <f t="shared" si="25"/>
        <v>1363.6599999999999</v>
      </c>
      <c r="U90" s="102">
        <f t="shared" si="25"/>
        <v>1385.86</v>
      </c>
      <c r="V90" s="102">
        <f t="shared" si="25"/>
        <v>1353.9399999999998</v>
      </c>
      <c r="W90" s="102">
        <f t="shared" si="25"/>
        <v>1359.34</v>
      </c>
      <c r="X90" s="102">
        <f t="shared" si="25"/>
        <v>1322.1399999999999</v>
      </c>
      <c r="Y90" s="102">
        <f t="shared" si="25"/>
        <v>1412.2399999999998</v>
      </c>
      <c r="Z90" s="102">
        <f t="shared" si="25"/>
        <v>1492.04</v>
      </c>
      <c r="AA90" s="102">
        <f t="shared" si="25"/>
        <v>1531.14</v>
      </c>
      <c r="AB90" s="102">
        <f t="shared" si="25"/>
        <v>1467.1399999999999</v>
      </c>
      <c r="AC90" s="102">
        <f t="shared" si="25"/>
        <v>1428.1399999999999</v>
      </c>
      <c r="AD90" s="102">
        <f t="shared" si="25"/>
        <v>1379.1399999999999</v>
      </c>
      <c r="AE90" s="102">
        <f t="shared" si="25"/>
        <v>1331.1399999999999</v>
      </c>
      <c r="AF90" s="102">
        <f t="shared" si="25"/>
        <v>1300.1399999999999</v>
      </c>
      <c r="AG90" s="95"/>
      <c r="AH90" s="52">
        <f t="shared" si="17"/>
        <v>1531.14</v>
      </c>
      <c r="AI90" s="53">
        <f t="shared" si="18"/>
        <v>1161.6399999999999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7"/>
        <v>0</v>
      </c>
      <c r="AI91" s="53">
        <f t="shared" si="18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7"/>
        <v>0</v>
      </c>
      <c r="AI92" s="53">
        <f t="shared" si="18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7"/>
        <v>0</v>
      </c>
      <c r="AI93" s="53">
        <f t="shared" si="18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7"/>
        <v>0</v>
      </c>
      <c r="AI94" s="53">
        <f t="shared" si="18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7"/>
        <v>0</v>
      </c>
      <c r="AI95" s="53">
        <f t="shared" si="18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7"/>
        <v>0</v>
      </c>
      <c r="AI96" s="53">
        <f t="shared" si="18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7"/>
        <v>0</v>
      </c>
      <c r="AI97" s="53">
        <f t="shared" si="18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:AF98" si="27">B82-B97</f>
        <v>654.19999999999993</v>
      </c>
      <c r="C98" s="67">
        <f t="shared" si="27"/>
        <v>616.19999999999993</v>
      </c>
      <c r="D98" s="67">
        <f t="shared" si="27"/>
        <v>615.5</v>
      </c>
      <c r="E98" s="67">
        <f t="shared" si="27"/>
        <v>610.5</v>
      </c>
      <c r="F98" s="67">
        <f t="shared" si="27"/>
        <v>584.5</v>
      </c>
      <c r="G98" s="67">
        <f t="shared" si="27"/>
        <v>574.5</v>
      </c>
      <c r="H98" s="67">
        <f t="shared" si="27"/>
        <v>542.5</v>
      </c>
      <c r="I98" s="67">
        <f t="shared" si="27"/>
        <v>563.1</v>
      </c>
      <c r="J98" s="67">
        <f t="shared" si="27"/>
        <v>553.5</v>
      </c>
      <c r="K98" s="67">
        <f t="shared" ref="K98:L98" si="28">K82-K97</f>
        <v>553.5</v>
      </c>
      <c r="L98" s="67">
        <f t="shared" si="28"/>
        <v>583.5</v>
      </c>
      <c r="M98" s="67">
        <f t="shared" si="27"/>
        <v>578.00000000000011</v>
      </c>
      <c r="N98" s="67">
        <f t="shared" si="27"/>
        <v>549.80000000000007</v>
      </c>
      <c r="O98" s="67">
        <f t="shared" si="27"/>
        <v>535.5</v>
      </c>
      <c r="P98" s="67">
        <f t="shared" si="27"/>
        <v>546</v>
      </c>
      <c r="Q98" s="67">
        <f t="shared" si="27"/>
        <v>557.5</v>
      </c>
      <c r="R98" s="67">
        <f t="shared" si="27"/>
        <v>557.5</v>
      </c>
      <c r="S98" s="67">
        <f t="shared" si="27"/>
        <v>577.20000000000005</v>
      </c>
      <c r="T98" s="67">
        <f t="shared" si="27"/>
        <v>574.50000000000011</v>
      </c>
      <c r="U98" s="67">
        <f t="shared" si="27"/>
        <v>582.9</v>
      </c>
      <c r="V98" s="67">
        <f t="shared" si="27"/>
        <v>576.5</v>
      </c>
      <c r="W98" s="67">
        <f t="shared" si="27"/>
        <v>567.5</v>
      </c>
      <c r="X98" s="67">
        <f t="shared" si="27"/>
        <v>488</v>
      </c>
      <c r="Y98" s="67">
        <f t="shared" si="27"/>
        <v>464</v>
      </c>
      <c r="Z98" s="67">
        <f t="shared" si="27"/>
        <v>537.90000000000009</v>
      </c>
      <c r="AA98" s="67">
        <f t="shared" si="27"/>
        <v>474.7</v>
      </c>
      <c r="AB98" s="67">
        <f t="shared" si="27"/>
        <v>443</v>
      </c>
      <c r="AC98" s="67">
        <f t="shared" si="27"/>
        <v>444</v>
      </c>
      <c r="AD98" s="67">
        <f t="shared" si="27"/>
        <v>444</v>
      </c>
      <c r="AE98" s="67">
        <f t="shared" si="27"/>
        <v>428</v>
      </c>
      <c r="AF98" s="67">
        <f t="shared" si="27"/>
        <v>463</v>
      </c>
      <c r="AG98" s="95"/>
      <c r="AH98" s="52">
        <f t="shared" si="17"/>
        <v>654.19999999999993</v>
      </c>
      <c r="AI98" s="53">
        <f t="shared" si="18"/>
        <v>428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50.04</v>
      </c>
      <c r="C99" s="108">
        <v>49.878</v>
      </c>
      <c r="D99" s="108">
        <v>50.015999999999998</v>
      </c>
      <c r="E99" s="108">
        <v>49.99</v>
      </c>
      <c r="F99" s="108">
        <v>49.99</v>
      </c>
      <c r="G99" s="108">
        <v>49.27</v>
      </c>
      <c r="H99" s="108">
        <v>48.8</v>
      </c>
      <c r="I99" s="108">
        <v>49.92</v>
      </c>
      <c r="J99" s="108">
        <v>50.06</v>
      </c>
      <c r="K99" s="108">
        <v>50.06</v>
      </c>
      <c r="L99" s="108">
        <v>50.07</v>
      </c>
      <c r="M99" s="108">
        <v>49.99</v>
      </c>
      <c r="N99" s="108">
        <v>50.02</v>
      </c>
      <c r="O99" s="108">
        <v>50.052</v>
      </c>
      <c r="P99" s="108">
        <v>49.94</v>
      </c>
      <c r="Q99" s="108">
        <v>49.957999999999998</v>
      </c>
      <c r="R99" s="108">
        <v>49.941000000000003</v>
      </c>
      <c r="S99" s="108">
        <v>49.948999999999998</v>
      </c>
      <c r="T99" s="108">
        <v>49.947000000000003</v>
      </c>
      <c r="U99" s="108">
        <v>49.932000000000002</v>
      </c>
      <c r="V99" s="108">
        <v>49.902999999999999</v>
      </c>
      <c r="W99" s="108">
        <v>49.929000000000002</v>
      </c>
      <c r="X99" s="108">
        <v>49.83</v>
      </c>
      <c r="Y99" s="108">
        <v>50.072000000000003</v>
      </c>
      <c r="Z99" s="108">
        <v>50.042000000000002</v>
      </c>
      <c r="AA99" s="108">
        <v>50.023000000000003</v>
      </c>
      <c r="AB99" s="108">
        <v>50.07</v>
      </c>
      <c r="AC99" s="108">
        <v>50.03</v>
      </c>
      <c r="AD99" s="108">
        <v>50.08</v>
      </c>
      <c r="AE99" s="108">
        <v>50.08</v>
      </c>
      <c r="AF99" s="108">
        <v>50.04</v>
      </c>
      <c r="AG99" s="109"/>
      <c r="AH99" s="52">
        <f t="shared" si="17"/>
        <v>50.08</v>
      </c>
      <c r="AI99" s="53">
        <f t="shared" si="18"/>
        <v>48.8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123.2</v>
      </c>
      <c r="C100" s="72">
        <v>125.6</v>
      </c>
      <c r="D100" s="72">
        <v>126.2</v>
      </c>
      <c r="E100" s="72">
        <v>127</v>
      </c>
      <c r="F100" s="72">
        <v>127</v>
      </c>
      <c r="G100" s="72">
        <v>127.7</v>
      </c>
      <c r="H100" s="72">
        <v>127.7</v>
      </c>
      <c r="I100" s="72">
        <v>128.30000000000001</v>
      </c>
      <c r="J100" s="72">
        <v>128.69999999999999</v>
      </c>
      <c r="K100" s="72">
        <v>128.69999999999999</v>
      </c>
      <c r="L100" s="72">
        <v>126.5</v>
      </c>
      <c r="M100" s="72">
        <v>124.1</v>
      </c>
      <c r="N100" s="72">
        <v>125.6</v>
      </c>
      <c r="O100" s="72">
        <v>126.2</v>
      </c>
      <c r="P100" s="72">
        <v>124.8</v>
      </c>
      <c r="Q100" s="72">
        <v>125.4</v>
      </c>
      <c r="R100" s="72">
        <v>124.9</v>
      </c>
      <c r="S100" s="72">
        <v>124.4</v>
      </c>
      <c r="T100" s="72">
        <v>125.9</v>
      </c>
      <c r="U100" s="72">
        <v>125.2</v>
      </c>
      <c r="V100" s="72">
        <v>127</v>
      </c>
      <c r="W100" s="72">
        <v>125.8</v>
      </c>
      <c r="X100" s="72">
        <v>128.30000000000001</v>
      </c>
      <c r="Y100" s="72">
        <v>128.69999999999999</v>
      </c>
      <c r="Z100" s="72">
        <v>126.7</v>
      </c>
      <c r="AA100" s="72">
        <v>126.8</v>
      </c>
      <c r="AB100" s="72">
        <v>126</v>
      </c>
      <c r="AC100" s="72">
        <v>126</v>
      </c>
      <c r="AD100" s="72">
        <v>128</v>
      </c>
      <c r="AE100" s="72">
        <v>128</v>
      </c>
      <c r="AF100" s="72">
        <v>128</v>
      </c>
      <c r="AG100" s="111"/>
      <c r="AH100" s="52">
        <f t="shared" si="17"/>
        <v>128.69999999999999</v>
      </c>
      <c r="AI100" s="53">
        <f t="shared" si="18"/>
        <v>123.2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128.6</v>
      </c>
      <c r="C101" s="72">
        <v>130.19999999999999</v>
      </c>
      <c r="D101" s="72">
        <v>130.4</v>
      </c>
      <c r="E101" s="72">
        <v>130.6</v>
      </c>
      <c r="F101" s="72">
        <v>130.6</v>
      </c>
      <c r="G101" s="72">
        <v>131.69999999999999</v>
      </c>
      <c r="H101" s="72">
        <v>131.69999999999999</v>
      </c>
      <c r="I101" s="72">
        <v>130.9</v>
      </c>
      <c r="J101" s="72">
        <v>130.80000000000001</v>
      </c>
      <c r="K101" s="72">
        <v>130.80000000000001</v>
      </c>
      <c r="L101" s="72">
        <v>128.5</v>
      </c>
      <c r="M101" s="72">
        <v>126.5</v>
      </c>
      <c r="N101" s="72">
        <v>127.9</v>
      </c>
      <c r="O101" s="72">
        <v>128.6</v>
      </c>
      <c r="P101" s="72">
        <v>128.4</v>
      </c>
      <c r="Q101" s="72">
        <v>129</v>
      </c>
      <c r="R101" s="72">
        <v>128.4</v>
      </c>
      <c r="S101" s="72">
        <v>128.30000000000001</v>
      </c>
      <c r="T101" s="72">
        <v>129</v>
      </c>
      <c r="U101" s="72">
        <v>129</v>
      </c>
      <c r="V101" s="72">
        <v>130.4</v>
      </c>
      <c r="W101" s="72">
        <v>129.69999999999999</v>
      </c>
      <c r="X101" s="72">
        <v>130.80000000000001</v>
      </c>
      <c r="Y101" s="72">
        <v>131.4</v>
      </c>
      <c r="Z101" s="72">
        <v>129.4</v>
      </c>
      <c r="AA101" s="72">
        <v>129.5</v>
      </c>
      <c r="AB101" s="72">
        <v>130</v>
      </c>
      <c r="AC101" s="72">
        <v>130</v>
      </c>
      <c r="AD101" s="72">
        <v>130</v>
      </c>
      <c r="AE101" s="72">
        <v>130</v>
      </c>
      <c r="AF101" s="72">
        <v>130</v>
      </c>
      <c r="AG101" s="111"/>
      <c r="AH101" s="52">
        <f t="shared" si="17"/>
        <v>131.69999999999999</v>
      </c>
      <c r="AI101" s="53">
        <f t="shared" si="18"/>
        <v>126.5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125.3</v>
      </c>
      <c r="C102" s="72">
        <v>127.3</v>
      </c>
      <c r="D102" s="72">
        <v>130.30000000000001</v>
      </c>
      <c r="E102" s="72">
        <v>131.6</v>
      </c>
      <c r="F102" s="72">
        <v>131.6</v>
      </c>
      <c r="G102" s="72">
        <v>132</v>
      </c>
      <c r="H102" s="72">
        <v>132</v>
      </c>
      <c r="I102" s="72">
        <v>130.19999999999999</v>
      </c>
      <c r="J102" s="72">
        <v>130.69999999999999</v>
      </c>
      <c r="K102" s="72">
        <v>130.69999999999999</v>
      </c>
      <c r="L102" s="72">
        <v>127</v>
      </c>
      <c r="M102" s="72">
        <v>128.80000000000001</v>
      </c>
      <c r="N102" s="72">
        <v>130.80000000000001</v>
      </c>
      <c r="O102" s="72">
        <v>129</v>
      </c>
      <c r="P102" s="72">
        <v>128.30000000000001</v>
      </c>
      <c r="Q102" s="72">
        <v>127.3</v>
      </c>
      <c r="R102" s="72">
        <v>128</v>
      </c>
      <c r="S102" s="72">
        <v>124.4</v>
      </c>
      <c r="T102" s="72">
        <v>128.30000000000001</v>
      </c>
      <c r="U102" s="72">
        <v>126.9</v>
      </c>
      <c r="V102" s="72">
        <v>131.19999999999999</v>
      </c>
      <c r="W102" s="72">
        <v>129.4</v>
      </c>
      <c r="X102" s="72">
        <v>127.5</v>
      </c>
      <c r="Y102" s="72">
        <v>127.4</v>
      </c>
      <c r="Z102" s="72">
        <v>125</v>
      </c>
      <c r="AA102" s="72">
        <v>129.80000000000001</v>
      </c>
      <c r="AB102" s="72">
        <v>125.6</v>
      </c>
      <c r="AC102" s="72">
        <v>125.6</v>
      </c>
      <c r="AD102" s="72">
        <v>125.6</v>
      </c>
      <c r="AE102" s="72">
        <v>125.6</v>
      </c>
      <c r="AF102" s="72">
        <v>125.6</v>
      </c>
      <c r="AG102" s="111"/>
      <c r="AH102" s="52">
        <f t="shared" si="17"/>
        <v>132</v>
      </c>
      <c r="AI102" s="53">
        <f t="shared" si="18"/>
        <v>124.4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7"/>
        <v>0</v>
      </c>
      <c r="AI103" s="53">
        <f t="shared" si="18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127.5</v>
      </c>
      <c r="C104" s="113">
        <v>132.30000000000001</v>
      </c>
      <c r="D104" s="113">
        <v>130.69999999999999</v>
      </c>
      <c r="E104" s="113">
        <v>132</v>
      </c>
      <c r="F104" s="113">
        <v>132</v>
      </c>
      <c r="G104" s="113">
        <v>134.80000000000001</v>
      </c>
      <c r="H104" s="113">
        <v>134.80000000000001</v>
      </c>
      <c r="I104" s="113">
        <v>135.69999999999999</v>
      </c>
      <c r="J104" s="113">
        <v>134.19999999999999</v>
      </c>
      <c r="K104" s="113">
        <v>134.19999999999999</v>
      </c>
      <c r="L104" s="113">
        <v>130.30000000000001</v>
      </c>
      <c r="M104" s="113">
        <v>127.7</v>
      </c>
      <c r="N104" s="113">
        <v>128.30000000000001</v>
      </c>
      <c r="O104" s="113">
        <v>129.69999999999999</v>
      </c>
      <c r="P104" s="113">
        <v>132.19999999999999</v>
      </c>
      <c r="Q104" s="113">
        <v>133.30000000000001</v>
      </c>
      <c r="R104" s="113">
        <v>130</v>
      </c>
      <c r="S104" s="113">
        <v>132.80000000000001</v>
      </c>
      <c r="T104" s="113">
        <v>132.5</v>
      </c>
      <c r="U104" s="113">
        <v>131.19999999999999</v>
      </c>
      <c r="V104" s="113">
        <v>135.1</v>
      </c>
      <c r="W104" s="113">
        <v>135.80000000000001</v>
      </c>
      <c r="X104" s="113">
        <v>132.6</v>
      </c>
      <c r="Y104" s="113">
        <v>135.4</v>
      </c>
      <c r="Z104" s="113">
        <v>132</v>
      </c>
      <c r="AA104" s="113">
        <v>132.80000000000001</v>
      </c>
      <c r="AB104" s="113">
        <v>133</v>
      </c>
      <c r="AC104" s="113">
        <v>133</v>
      </c>
      <c r="AD104" s="113">
        <v>133</v>
      </c>
      <c r="AE104" s="113">
        <v>133</v>
      </c>
      <c r="AF104" s="113">
        <v>133</v>
      </c>
      <c r="AG104" s="114"/>
      <c r="AH104" s="52">
        <f t="shared" si="17"/>
        <v>135.80000000000001</v>
      </c>
      <c r="AI104" s="53">
        <f t="shared" si="18"/>
        <v>127.5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129.6</v>
      </c>
      <c r="C105" s="72">
        <v>133.30000000000001</v>
      </c>
      <c r="D105" s="72">
        <v>132.80000000000001</v>
      </c>
      <c r="E105" s="72">
        <v>132.9</v>
      </c>
      <c r="F105" s="72">
        <v>132.9</v>
      </c>
      <c r="G105" s="72">
        <v>130.4</v>
      </c>
      <c r="H105" s="72">
        <v>130.4</v>
      </c>
      <c r="I105" s="72">
        <v>129</v>
      </c>
      <c r="J105" s="72">
        <v>126.9</v>
      </c>
      <c r="K105" s="72">
        <v>126.9</v>
      </c>
      <c r="L105" s="72">
        <v>125.9</v>
      </c>
      <c r="M105" s="72">
        <v>124</v>
      </c>
      <c r="N105" s="72">
        <v>125</v>
      </c>
      <c r="O105" s="72">
        <v>124.7</v>
      </c>
      <c r="P105" s="72">
        <v>128.6</v>
      </c>
      <c r="Q105" s="72">
        <v>124.7</v>
      </c>
      <c r="R105" s="72">
        <v>138</v>
      </c>
      <c r="S105" s="72">
        <v>132.6</v>
      </c>
      <c r="T105" s="72">
        <v>132.9</v>
      </c>
      <c r="U105" s="72">
        <v>130.5</v>
      </c>
      <c r="V105" s="72">
        <v>135.19999999999999</v>
      </c>
      <c r="W105" s="72">
        <v>133.1</v>
      </c>
      <c r="X105" s="72">
        <v>129.9</v>
      </c>
      <c r="Y105" s="72">
        <v>133.19999999999999</v>
      </c>
      <c r="Z105" s="72">
        <v>128.4</v>
      </c>
      <c r="AA105" s="72">
        <v>132.19999999999999</v>
      </c>
      <c r="AB105" s="72">
        <v>129</v>
      </c>
      <c r="AC105" s="72">
        <v>129</v>
      </c>
      <c r="AD105" s="72">
        <v>129</v>
      </c>
      <c r="AE105" s="72">
        <v>129</v>
      </c>
      <c r="AF105" s="72">
        <v>129</v>
      </c>
      <c r="AG105" s="111"/>
      <c r="AH105" s="52">
        <f t="shared" si="17"/>
        <v>138</v>
      </c>
      <c r="AI105" s="53">
        <f t="shared" si="18"/>
        <v>124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128.6</v>
      </c>
      <c r="C106" s="99">
        <v>130.19999999999999</v>
      </c>
      <c r="D106" s="99">
        <v>65.5</v>
      </c>
      <c r="E106" s="99">
        <v>65.8</v>
      </c>
      <c r="F106" s="99">
        <v>65.8</v>
      </c>
      <c r="G106" s="99">
        <v>65.8</v>
      </c>
      <c r="H106" s="99">
        <v>65.8</v>
      </c>
      <c r="I106" s="99">
        <v>65.3</v>
      </c>
      <c r="J106" s="99">
        <v>65.099999999999994</v>
      </c>
      <c r="K106" s="99">
        <v>65.099999999999994</v>
      </c>
      <c r="L106" s="99">
        <v>66.8</v>
      </c>
      <c r="M106" s="99">
        <v>63.5</v>
      </c>
      <c r="N106" s="99">
        <v>64.400000000000006</v>
      </c>
      <c r="O106" s="99">
        <v>64.8</v>
      </c>
      <c r="P106" s="99">
        <v>64.5</v>
      </c>
      <c r="Q106" s="99">
        <v>64.7</v>
      </c>
      <c r="R106" s="99">
        <v>64.400000000000006</v>
      </c>
      <c r="S106" s="99">
        <v>64.599999999999994</v>
      </c>
      <c r="T106" s="99">
        <v>65</v>
      </c>
      <c r="U106" s="99">
        <v>64.900000000000006</v>
      </c>
      <c r="V106" s="99">
        <v>65.3</v>
      </c>
      <c r="W106" s="99">
        <v>65.3</v>
      </c>
      <c r="X106" s="99">
        <v>65.7</v>
      </c>
      <c r="Y106" s="99">
        <v>66.099999999999994</v>
      </c>
      <c r="Z106" s="99">
        <v>64.8</v>
      </c>
      <c r="AA106" s="99">
        <v>64.900000000000006</v>
      </c>
      <c r="AB106" s="99">
        <v>65.400000000000006</v>
      </c>
      <c r="AC106" s="99">
        <v>65.400000000000006</v>
      </c>
      <c r="AD106" s="99">
        <v>65.400000000000006</v>
      </c>
      <c r="AE106" s="99">
        <v>65.400000000000006</v>
      </c>
      <c r="AF106" s="99">
        <v>65.400000000000006</v>
      </c>
      <c r="AG106" s="115"/>
      <c r="AH106" s="52">
        <f t="shared" si="17"/>
        <v>130.19999999999999</v>
      </c>
      <c r="AI106" s="53">
        <f t="shared" si="18"/>
        <v>63.5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7"/>
        <v>0</v>
      </c>
      <c r="AI107" s="53">
        <f t="shared" si="18"/>
        <v>0</v>
      </c>
    </row>
    <row r="108" spans="1:88" ht="15.75" thickBot="1" x14ac:dyDescent="0.3">
      <c r="A108" s="117" t="s">
        <v>116</v>
      </c>
      <c r="B108" s="118">
        <f t="shared" ref="B108:AF108" si="29">SUM(B18,B24,B27:B28,B56,B58:B59,B61,B63,B109:B113,B135,B141,B147,B156,B158,B170,B177,B180:B181,B188,B190,B192,B196:B198,B200:B202,B207,B213:B214,B216:B218,B226,B231)</f>
        <v>88.3</v>
      </c>
      <c r="C108" s="118">
        <f t="shared" si="29"/>
        <v>93.039999999999992</v>
      </c>
      <c r="D108" s="118">
        <f t="shared" si="29"/>
        <v>91.539999999999992</v>
      </c>
      <c r="E108" s="118">
        <f t="shared" si="29"/>
        <v>65.839999999999989</v>
      </c>
      <c r="F108" s="118">
        <f t="shared" ref="F108:G108" si="30">SUM(F18,F24,F27:F28,F56,F58:F59,F61,F63,F109:F113,F135,F141,F147,F156,F158,F170,F177,F180:F181,F188,F190,F192,F196:F198,F200:F202,F207,F213:F214,F216:F218,F226,F231)</f>
        <v>65.839999999999989</v>
      </c>
      <c r="G108" s="118">
        <f t="shared" si="30"/>
        <v>83.94</v>
      </c>
      <c r="H108" s="118">
        <f t="shared" ref="H108" si="31">SUM(H18,H24,H27:H28,H56,H58:H59,H61,H63,H109:H113,H135,H141,H147,H156,H158,H170,H177,H180:H181,H188,H190,H192,H196:H198,H200:H202,H207,H213:H214,H216:H218,H226,H231)</f>
        <v>83.94</v>
      </c>
      <c r="I108" s="118">
        <f t="shared" si="29"/>
        <v>124.14</v>
      </c>
      <c r="J108" s="118">
        <f t="shared" si="29"/>
        <v>132.23999999999998</v>
      </c>
      <c r="K108" s="118">
        <f t="shared" ref="K108:L108" si="32">SUM(K18,K24,K27:K28,K56,K58:K59,K61,K63,K109:K113,K135,K141,K147,K156,K158,K170,K177,K180:K181,K188,K190,K192,K196:K198,K200:K202,K207,K213:K214,K216:K218,K226,K231)</f>
        <v>133.23999999999998</v>
      </c>
      <c r="L108" s="118">
        <f t="shared" si="32"/>
        <v>181.14</v>
      </c>
      <c r="M108" s="118">
        <f t="shared" si="29"/>
        <v>266.94</v>
      </c>
      <c r="N108" s="118">
        <f t="shared" si="29"/>
        <v>283.95999999999998</v>
      </c>
      <c r="O108" s="118">
        <f t="shared" si="29"/>
        <v>265.06</v>
      </c>
      <c r="P108" s="118">
        <v>42</v>
      </c>
      <c r="Q108" s="118">
        <f t="shared" si="29"/>
        <v>209.01999999999998</v>
      </c>
      <c r="R108" s="118">
        <f t="shared" si="29"/>
        <v>208.22</v>
      </c>
      <c r="S108" s="118">
        <f t="shared" si="29"/>
        <v>213.92000000000002</v>
      </c>
      <c r="T108" s="118">
        <f t="shared" si="29"/>
        <v>178.61999999999998</v>
      </c>
      <c r="U108" s="118">
        <f t="shared" si="29"/>
        <v>172.01999999999998</v>
      </c>
      <c r="V108" s="118">
        <f t="shared" si="29"/>
        <v>194.29999999999998</v>
      </c>
      <c r="W108" s="118">
        <f t="shared" si="29"/>
        <v>199.89999999999998</v>
      </c>
      <c r="X108" s="118">
        <f t="shared" si="29"/>
        <v>209.6</v>
      </c>
      <c r="Y108" s="118">
        <f t="shared" si="29"/>
        <v>238.1</v>
      </c>
      <c r="Z108" s="118">
        <f t="shared" si="29"/>
        <v>252.1</v>
      </c>
      <c r="AA108" s="118">
        <f t="shared" si="29"/>
        <v>241</v>
      </c>
      <c r="AB108" s="118">
        <f t="shared" si="29"/>
        <v>237.5</v>
      </c>
      <c r="AC108" s="118">
        <f t="shared" si="29"/>
        <v>237.5</v>
      </c>
      <c r="AD108" s="118">
        <f t="shared" si="29"/>
        <v>187.5</v>
      </c>
      <c r="AE108" s="118">
        <f t="shared" si="29"/>
        <v>155.5</v>
      </c>
      <c r="AF108" s="118">
        <f t="shared" si="29"/>
        <v>127.5</v>
      </c>
      <c r="AG108" s="119"/>
      <c r="AH108" s="52">
        <f t="shared" si="17"/>
        <v>283.95999999999998</v>
      </c>
      <c r="AI108" s="53">
        <f t="shared" si="18"/>
        <v>42</v>
      </c>
    </row>
    <row r="109" spans="1:88" x14ac:dyDescent="0.25">
      <c r="A109" s="107" t="s">
        <v>117</v>
      </c>
      <c r="B109" s="120">
        <v>-20.100000000000001</v>
      </c>
      <c r="C109" s="120">
        <v>-18.2</v>
      </c>
      <c r="D109" s="120">
        <v>-23.9</v>
      </c>
      <c r="E109" s="120">
        <v>-11.2</v>
      </c>
      <c r="F109" s="120">
        <v>-11.2</v>
      </c>
      <c r="G109" s="120">
        <v>-13</v>
      </c>
      <c r="H109" s="120">
        <v>-13</v>
      </c>
      <c r="I109" s="120">
        <v>-11.9</v>
      </c>
      <c r="J109" s="120">
        <v>-9.8000000000000007</v>
      </c>
      <c r="K109" s="120">
        <v>-8.8000000000000007</v>
      </c>
      <c r="L109" s="120">
        <v>-7.6</v>
      </c>
      <c r="M109" s="120">
        <v>-10.4</v>
      </c>
      <c r="N109" s="120">
        <v>-9.5</v>
      </c>
      <c r="O109" s="120">
        <v>-9.6999999999999993</v>
      </c>
      <c r="P109" s="120">
        <v>0</v>
      </c>
      <c r="Q109" s="120">
        <v>0</v>
      </c>
      <c r="R109" s="120">
        <v>1</v>
      </c>
      <c r="S109" s="120">
        <v>3.4</v>
      </c>
      <c r="T109" s="120">
        <v>-5.2</v>
      </c>
      <c r="U109" s="120">
        <v>-6</v>
      </c>
      <c r="V109" s="120">
        <v>4.0999999999999996</v>
      </c>
      <c r="W109" s="120">
        <v>7.1</v>
      </c>
      <c r="X109" s="120">
        <v>1.8</v>
      </c>
      <c r="Y109" s="120">
        <v>11.1</v>
      </c>
      <c r="Z109" s="120">
        <v>15.6</v>
      </c>
      <c r="AA109" s="120">
        <v>10</v>
      </c>
      <c r="AB109" s="120">
        <v>17</v>
      </c>
      <c r="AC109" s="120">
        <v>17</v>
      </c>
      <c r="AD109" s="120">
        <v>2</v>
      </c>
      <c r="AE109" s="120">
        <v>-5</v>
      </c>
      <c r="AF109" s="120">
        <v>-22</v>
      </c>
      <c r="AG109" s="121">
        <v>75</v>
      </c>
      <c r="AH109" s="52">
        <f t="shared" si="17"/>
        <v>17</v>
      </c>
      <c r="AI109" s="53">
        <f t="shared" si="18"/>
        <v>-23.9</v>
      </c>
    </row>
    <row r="110" spans="1:88" x14ac:dyDescent="0.25">
      <c r="A110" s="110" t="s">
        <v>118</v>
      </c>
      <c r="B110" s="122">
        <v>-25.7</v>
      </c>
      <c r="C110" s="122">
        <v>-22.4</v>
      </c>
      <c r="D110" s="122">
        <v>-29.1</v>
      </c>
      <c r="E110" s="122">
        <v>-12.4</v>
      </c>
      <c r="F110" s="122">
        <v>-12.4</v>
      </c>
      <c r="G110" s="122">
        <v>-12.6</v>
      </c>
      <c r="H110" s="122">
        <v>-12.6</v>
      </c>
      <c r="I110" s="122">
        <v>-13.8</v>
      </c>
      <c r="J110" s="122">
        <f>-26.1+6.1</f>
        <v>-20</v>
      </c>
      <c r="K110" s="122">
        <f t="shared" ref="K110" si="33">-26.1+6.1</f>
        <v>-20</v>
      </c>
      <c r="L110" s="122">
        <v>-11.9</v>
      </c>
      <c r="M110" s="122">
        <v>-15</v>
      </c>
      <c r="N110" s="122">
        <v>-13.5</v>
      </c>
      <c r="O110" s="122">
        <v>-13.7</v>
      </c>
      <c r="P110" s="122">
        <v>5.5</v>
      </c>
      <c r="Q110" s="122">
        <v>4.5</v>
      </c>
      <c r="R110" s="122">
        <v>6.7</v>
      </c>
      <c r="S110" s="122">
        <v>11.4</v>
      </c>
      <c r="T110" s="122">
        <v>-3.9</v>
      </c>
      <c r="U110" s="122">
        <v>-6.4</v>
      </c>
      <c r="V110" s="122">
        <v>4.3</v>
      </c>
      <c r="W110" s="122">
        <v>6.7</v>
      </c>
      <c r="X110" s="122">
        <v>0</v>
      </c>
      <c r="Y110" s="122">
        <v>12.2</v>
      </c>
      <c r="Z110" s="122">
        <v>19.100000000000001</v>
      </c>
      <c r="AA110" s="122">
        <v>10.6</v>
      </c>
      <c r="AB110" s="122">
        <v>13</v>
      </c>
      <c r="AC110" s="122">
        <v>13</v>
      </c>
      <c r="AD110" s="122">
        <v>3</v>
      </c>
      <c r="AE110" s="122">
        <v>-10</v>
      </c>
      <c r="AF110" s="122">
        <v>-16</v>
      </c>
      <c r="AG110" s="121">
        <v>240</v>
      </c>
      <c r="AH110" s="52">
        <f t="shared" si="17"/>
        <v>19.100000000000001</v>
      </c>
      <c r="AI110" s="53">
        <f t="shared" si="18"/>
        <v>-29.1</v>
      </c>
    </row>
    <row r="111" spans="1:88" x14ac:dyDescent="0.25">
      <c r="A111" s="110" t="s">
        <v>119</v>
      </c>
      <c r="B111" s="122">
        <v>-46</v>
      </c>
      <c r="C111" s="122">
        <v>-38</v>
      </c>
      <c r="D111" s="122">
        <v>-36</v>
      </c>
      <c r="E111" s="122">
        <f>-54.2-24</f>
        <v>-78.2</v>
      </c>
      <c r="F111" s="122">
        <f t="shared" ref="F111" si="34">-54.2-24</f>
        <v>-78.2</v>
      </c>
      <c r="G111" s="122">
        <f>-48.4-18.2</f>
        <v>-66.599999999999994</v>
      </c>
      <c r="H111" s="122">
        <f>-48.4-18.2</f>
        <v>-66.599999999999994</v>
      </c>
      <c r="I111" s="122">
        <f>-36.3-5</f>
        <v>-41.3</v>
      </c>
      <c r="J111" s="122">
        <v>-26.1</v>
      </c>
      <c r="K111" s="122">
        <v>-26.1</v>
      </c>
      <c r="L111" s="122">
        <f>-21.2+12.2</f>
        <v>-9</v>
      </c>
      <c r="M111" s="122">
        <f>19.5+12.1</f>
        <v>31.6</v>
      </c>
      <c r="N111" s="122">
        <f>21.4+14.5</f>
        <v>35.9</v>
      </c>
      <c r="O111" s="122">
        <v>32</v>
      </c>
      <c r="P111" s="122">
        <v>-7</v>
      </c>
      <c r="Q111" s="122">
        <v>-23</v>
      </c>
      <c r="R111" s="122">
        <v>-22</v>
      </c>
      <c r="S111" s="122">
        <v>-21</v>
      </c>
      <c r="T111" s="122">
        <v>-45</v>
      </c>
      <c r="U111" s="122">
        <v>-50</v>
      </c>
      <c r="V111" s="122">
        <v>-36</v>
      </c>
      <c r="W111" s="122">
        <v>-42</v>
      </c>
      <c r="X111" s="122">
        <v>-10.6</v>
      </c>
      <c r="Y111" s="122">
        <v>-10.6</v>
      </c>
      <c r="Z111" s="122">
        <v>-20.100000000000001</v>
      </c>
      <c r="AA111" s="122">
        <v>-29</v>
      </c>
      <c r="AB111" s="122">
        <v>-18</v>
      </c>
      <c r="AC111" s="122">
        <v>-18</v>
      </c>
      <c r="AD111" s="122">
        <v>-19</v>
      </c>
      <c r="AE111" s="122">
        <v>-30</v>
      </c>
      <c r="AF111" s="122">
        <v>-38</v>
      </c>
      <c r="AG111" s="121">
        <v>240</v>
      </c>
      <c r="AH111" s="52">
        <f t="shared" si="17"/>
        <v>35.9</v>
      </c>
      <c r="AI111" s="53">
        <f t="shared" si="18"/>
        <v>-78.2</v>
      </c>
    </row>
    <row r="112" spans="1:88" x14ac:dyDescent="0.25">
      <c r="A112" s="110" t="s">
        <v>120</v>
      </c>
      <c r="B112" s="122">
        <v>27.8</v>
      </c>
      <c r="C112" s="122">
        <v>26.4</v>
      </c>
      <c r="D112" s="122">
        <v>26.7</v>
      </c>
      <c r="E112" s="122">
        <v>28.2</v>
      </c>
      <c r="F112" s="122">
        <v>28.2</v>
      </c>
      <c r="G112" s="122">
        <v>32</v>
      </c>
      <c r="H112" s="122">
        <v>32</v>
      </c>
      <c r="I112" s="122">
        <v>36.200000000000003</v>
      </c>
      <c r="J112" s="122">
        <v>40.5</v>
      </c>
      <c r="K112" s="122">
        <v>40.5</v>
      </c>
      <c r="L112" s="122">
        <v>46.4</v>
      </c>
      <c r="M112" s="122">
        <v>45</v>
      </c>
      <c r="N112" s="122">
        <v>47.6</v>
      </c>
      <c r="O112" s="122">
        <v>44</v>
      </c>
      <c r="P112" s="122">
        <v>36.4</v>
      </c>
      <c r="Q112" s="122">
        <v>32</v>
      </c>
      <c r="R112" s="122">
        <v>30</v>
      </c>
      <c r="S112" s="122">
        <v>25.5</v>
      </c>
      <c r="T112" s="122">
        <v>34.1</v>
      </c>
      <c r="U112" s="122">
        <v>34.299999999999997</v>
      </c>
      <c r="V112" s="122">
        <v>30</v>
      </c>
      <c r="W112" s="122">
        <v>37.299999999999997</v>
      </c>
      <c r="X112" s="122">
        <v>33</v>
      </c>
      <c r="Y112" s="122">
        <v>33</v>
      </c>
      <c r="Z112" s="122">
        <v>41.9</v>
      </c>
      <c r="AA112" s="122">
        <v>48</v>
      </c>
      <c r="AB112" s="122">
        <v>37</v>
      </c>
      <c r="AC112" s="122">
        <v>37</v>
      </c>
      <c r="AD112" s="122">
        <v>18</v>
      </c>
      <c r="AE112" s="122">
        <v>15</v>
      </c>
      <c r="AF112" s="122">
        <v>14</v>
      </c>
      <c r="AG112" s="121">
        <v>60</v>
      </c>
      <c r="AH112" s="52">
        <f t="shared" si="17"/>
        <v>48</v>
      </c>
      <c r="AI112" s="53">
        <f t="shared" si="18"/>
        <v>14</v>
      </c>
    </row>
    <row r="113" spans="1:37" x14ac:dyDescent="0.25">
      <c r="A113" s="123" t="s">
        <v>121</v>
      </c>
      <c r="B113" s="124">
        <v>95.2</v>
      </c>
      <c r="C113" s="124">
        <v>87.2</v>
      </c>
      <c r="D113" s="124">
        <v>95.8</v>
      </c>
      <c r="E113" s="124">
        <v>81.400000000000006</v>
      </c>
      <c r="F113" s="124">
        <v>81.400000000000006</v>
      </c>
      <c r="G113" s="124">
        <v>86.1</v>
      </c>
      <c r="H113" s="124">
        <v>86.1</v>
      </c>
      <c r="I113" s="124">
        <v>96.9</v>
      </c>
      <c r="J113" s="124">
        <v>89.6</v>
      </c>
      <c r="K113" s="124">
        <v>89.6</v>
      </c>
      <c r="L113" s="124">
        <v>105.2</v>
      </c>
      <c r="M113" s="124">
        <v>115.2</v>
      </c>
      <c r="N113" s="124">
        <v>125</v>
      </c>
      <c r="O113" s="124">
        <v>116</v>
      </c>
      <c r="P113" s="124">
        <v>105.3</v>
      </c>
      <c r="Q113" s="124">
        <v>94</v>
      </c>
      <c r="R113" s="124">
        <v>93.4</v>
      </c>
      <c r="S113" s="124">
        <v>91.6</v>
      </c>
      <c r="T113" s="124">
        <v>99.9</v>
      </c>
      <c r="U113" s="124">
        <v>106.5</v>
      </c>
      <c r="V113" s="124">
        <v>106.8</v>
      </c>
      <c r="W113" s="124">
        <v>106.4</v>
      </c>
      <c r="X113" s="124">
        <v>101</v>
      </c>
      <c r="Y113" s="124">
        <v>108</v>
      </c>
      <c r="Z113" s="124">
        <v>110</v>
      </c>
      <c r="AA113" s="124">
        <v>114.6</v>
      </c>
      <c r="AB113" s="124">
        <v>101</v>
      </c>
      <c r="AC113" s="124">
        <v>101</v>
      </c>
      <c r="AD113" s="124">
        <v>96</v>
      </c>
      <c r="AE113" s="124">
        <v>98</v>
      </c>
      <c r="AF113" s="124">
        <v>101</v>
      </c>
      <c r="AG113" s="125">
        <v>120</v>
      </c>
      <c r="AH113" s="52">
        <f t="shared" si="17"/>
        <v>125</v>
      </c>
      <c r="AI113" s="53">
        <f t="shared" si="18"/>
        <v>81.400000000000006</v>
      </c>
    </row>
    <row r="114" spans="1:37" x14ac:dyDescent="0.25">
      <c r="A114" s="123" t="s">
        <v>122</v>
      </c>
      <c r="B114" s="124">
        <v>108.5</v>
      </c>
      <c r="C114" s="124">
        <v>102.4</v>
      </c>
      <c r="D114" s="124">
        <v>110</v>
      </c>
      <c r="E114" s="124">
        <v>99.8</v>
      </c>
      <c r="F114" s="124">
        <v>99.8</v>
      </c>
      <c r="G114" s="124">
        <v>98.1</v>
      </c>
      <c r="H114" s="124">
        <v>98.1</v>
      </c>
      <c r="I114" s="124">
        <v>97.3</v>
      </c>
      <c r="J114" s="124">
        <v>75.8</v>
      </c>
      <c r="K114" s="124">
        <v>75.8</v>
      </c>
      <c r="L114" s="124">
        <v>84</v>
      </c>
      <c r="M114" s="124">
        <v>92.4</v>
      </c>
      <c r="N114" s="124">
        <v>98.6</v>
      </c>
      <c r="O114" s="124">
        <v>89</v>
      </c>
      <c r="P114" s="124">
        <v>99.1</v>
      </c>
      <c r="Q114" s="124">
        <v>99</v>
      </c>
      <c r="R114" s="124">
        <v>101</v>
      </c>
      <c r="S114" s="124">
        <v>100.8</v>
      </c>
      <c r="T114" s="124">
        <v>102.5</v>
      </c>
      <c r="U114" s="124">
        <v>103.4</v>
      </c>
      <c r="V114" s="124">
        <v>103.9</v>
      </c>
      <c r="W114" s="124">
        <v>101</v>
      </c>
      <c r="X114" s="124">
        <v>88</v>
      </c>
      <c r="Y114" s="124">
        <v>88</v>
      </c>
      <c r="Z114" s="124">
        <v>87.6</v>
      </c>
      <c r="AA114" s="124">
        <v>97.2</v>
      </c>
      <c r="AB114" s="124">
        <v>96</v>
      </c>
      <c r="AC114" s="124">
        <v>96</v>
      </c>
      <c r="AD114" s="124">
        <v>88</v>
      </c>
      <c r="AE114" s="124">
        <v>95</v>
      </c>
      <c r="AF114" s="124">
        <v>96</v>
      </c>
      <c r="AG114" s="125"/>
      <c r="AH114" s="52">
        <f t="shared" si="17"/>
        <v>110</v>
      </c>
      <c r="AI114" s="53">
        <f t="shared" si="18"/>
        <v>75.8</v>
      </c>
    </row>
    <row r="115" spans="1:37" x14ac:dyDescent="0.25">
      <c r="A115" s="123" t="s">
        <v>123</v>
      </c>
      <c r="B115" s="124"/>
      <c r="C115" s="124">
        <v>59</v>
      </c>
      <c r="D115" s="124"/>
      <c r="E115" s="124">
        <v>57.5</v>
      </c>
      <c r="F115" s="124">
        <v>57.5</v>
      </c>
      <c r="G115" s="124">
        <v>49.9</v>
      </c>
      <c r="H115" s="124">
        <v>49.9</v>
      </c>
      <c r="I115" s="124">
        <v>42</v>
      </c>
      <c r="J115" s="124">
        <v>36.700000000000003</v>
      </c>
      <c r="K115" s="124">
        <v>36.700000000000003</v>
      </c>
      <c r="L115" s="124">
        <v>41.8</v>
      </c>
      <c r="M115" s="124">
        <v>48.1</v>
      </c>
      <c r="N115" s="124">
        <v>51.8</v>
      </c>
      <c r="O115" s="124">
        <v>54</v>
      </c>
      <c r="P115" s="124">
        <v>44.2</v>
      </c>
      <c r="Q115" s="124">
        <v>44</v>
      </c>
      <c r="R115" s="124">
        <v>43</v>
      </c>
      <c r="S115" s="124">
        <v>43.9</v>
      </c>
      <c r="T115" s="124">
        <v>51.9</v>
      </c>
      <c r="U115" s="124">
        <v>48</v>
      </c>
      <c r="V115" s="124">
        <v>47.9</v>
      </c>
      <c r="W115" s="124">
        <v>46.3</v>
      </c>
      <c r="X115" s="124">
        <v>45</v>
      </c>
      <c r="Y115" s="124">
        <v>35</v>
      </c>
      <c r="Z115" s="124">
        <v>31.4</v>
      </c>
      <c r="AA115" s="124">
        <v>44.6</v>
      </c>
      <c r="AB115" s="124">
        <v>63</v>
      </c>
      <c r="AC115" s="124">
        <v>63</v>
      </c>
      <c r="AD115" s="124">
        <v>77</v>
      </c>
      <c r="AE115" s="124">
        <v>90</v>
      </c>
      <c r="AF115" s="124">
        <v>90</v>
      </c>
      <c r="AG115" s="126"/>
      <c r="AH115" s="52">
        <f t="shared" si="17"/>
        <v>90</v>
      </c>
      <c r="AI115" s="53">
        <f t="shared" si="18"/>
        <v>31.4</v>
      </c>
    </row>
    <row r="116" spans="1:37" x14ac:dyDescent="0.25">
      <c r="A116" s="127" t="s">
        <v>124</v>
      </c>
      <c r="B116" s="113">
        <v>-2.7</v>
      </c>
      <c r="C116" s="113">
        <v>2.1</v>
      </c>
      <c r="D116" s="113">
        <v>-12.4</v>
      </c>
      <c r="E116" s="113">
        <v>-10.5</v>
      </c>
      <c r="F116" s="113">
        <v>-10.5</v>
      </c>
      <c r="G116" s="113">
        <v>-7.4</v>
      </c>
      <c r="H116" s="113">
        <v>-7.4</v>
      </c>
      <c r="I116" s="113">
        <v>-2.5</v>
      </c>
      <c r="J116" s="113">
        <v>-10.3</v>
      </c>
      <c r="K116" s="113">
        <v>-10.3</v>
      </c>
      <c r="L116" s="113">
        <v>-13.2</v>
      </c>
      <c r="M116" s="113">
        <v>-15.2</v>
      </c>
      <c r="N116" s="113">
        <v>-6.2</v>
      </c>
      <c r="O116" s="113">
        <v>-18</v>
      </c>
      <c r="P116" s="113">
        <v>-28.1</v>
      </c>
      <c r="Q116" s="113">
        <v>-26.1</v>
      </c>
      <c r="R116" s="113">
        <v>0</v>
      </c>
      <c r="S116" s="113">
        <v>7.9</v>
      </c>
      <c r="T116" s="113">
        <v>-9.5</v>
      </c>
      <c r="U116" s="113">
        <v>-12.9</v>
      </c>
      <c r="V116" s="113">
        <v>-12</v>
      </c>
      <c r="W116" s="113">
        <v>-6.2</v>
      </c>
      <c r="X116" s="113">
        <v>-20</v>
      </c>
      <c r="Y116" s="113">
        <v>-21</v>
      </c>
      <c r="Z116" s="113">
        <v>-44.8</v>
      </c>
      <c r="AA116" s="113">
        <v>-27.6</v>
      </c>
      <c r="AB116" s="113">
        <v>-29</v>
      </c>
      <c r="AC116" s="113">
        <v>-29</v>
      </c>
      <c r="AD116" s="113">
        <v>-11</v>
      </c>
      <c r="AE116" s="113">
        <v>2.5</v>
      </c>
      <c r="AF116" s="113">
        <v>2</v>
      </c>
      <c r="AG116" s="126"/>
      <c r="AH116" s="52">
        <f t="shared" si="17"/>
        <v>7.9</v>
      </c>
      <c r="AI116" s="53">
        <f t="shared" si="18"/>
        <v>-44.8</v>
      </c>
    </row>
    <row r="117" spans="1:37" ht="15.75" thickBot="1" x14ac:dyDescent="0.3">
      <c r="A117" s="127" t="s">
        <v>125</v>
      </c>
      <c r="B117" s="113">
        <v>109</v>
      </c>
      <c r="C117" s="113">
        <v>102</v>
      </c>
      <c r="D117" s="113">
        <v>92.7</v>
      </c>
      <c r="E117" s="113">
        <v>83.2</v>
      </c>
      <c r="F117" s="113">
        <v>83.2</v>
      </c>
      <c r="G117" s="113">
        <v>76.7</v>
      </c>
      <c r="H117" s="113">
        <v>76.7</v>
      </c>
      <c r="I117" s="113">
        <v>77.8</v>
      </c>
      <c r="J117" s="113">
        <v>75.099999999999994</v>
      </c>
      <c r="K117" s="113">
        <v>75.099999999999994</v>
      </c>
      <c r="L117" s="113">
        <v>89</v>
      </c>
      <c r="M117" s="113">
        <v>91.52</v>
      </c>
      <c r="N117" s="113">
        <v>89</v>
      </c>
      <c r="O117" s="113">
        <v>85</v>
      </c>
      <c r="P117" s="113">
        <v>94</v>
      </c>
      <c r="Q117" s="113">
        <v>100</v>
      </c>
      <c r="R117" s="113">
        <v>91</v>
      </c>
      <c r="S117" s="113">
        <v>95.2</v>
      </c>
      <c r="T117" s="113">
        <v>97.1</v>
      </c>
      <c r="U117" s="113">
        <v>96</v>
      </c>
      <c r="V117" s="113">
        <v>91</v>
      </c>
      <c r="W117" s="113">
        <v>88.9</v>
      </c>
      <c r="X117" s="113">
        <v>90</v>
      </c>
      <c r="Y117" s="113">
        <v>98</v>
      </c>
      <c r="Z117" s="113">
        <v>123</v>
      </c>
      <c r="AA117" s="113">
        <v>116.8</v>
      </c>
      <c r="AB117" s="113">
        <v>114</v>
      </c>
      <c r="AC117" s="113">
        <v>114</v>
      </c>
      <c r="AD117" s="113">
        <v>107</v>
      </c>
      <c r="AE117" s="113">
        <v>90</v>
      </c>
      <c r="AF117" s="113">
        <v>90</v>
      </c>
      <c r="AG117" s="126"/>
      <c r="AH117" s="52">
        <f t="shared" si="17"/>
        <v>123</v>
      </c>
      <c r="AI117" s="53">
        <f t="shared" si="18"/>
        <v>75.099999999999994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35">SUM(B119:B223)</f>
        <v>0</v>
      </c>
      <c r="C224" s="144">
        <f t="shared" si="35"/>
        <v>0</v>
      </c>
      <c r="D224" s="144">
        <f t="shared" si="35"/>
        <v>0</v>
      </c>
      <c r="E224" s="144">
        <f t="shared" si="35"/>
        <v>0</v>
      </c>
      <c r="F224" s="144">
        <f t="shared" si="35"/>
        <v>0</v>
      </c>
      <c r="G224" s="144">
        <f t="shared" si="35"/>
        <v>0</v>
      </c>
      <c r="H224" s="144">
        <f t="shared" si="35"/>
        <v>0</v>
      </c>
      <c r="I224" s="144">
        <f t="shared" si="35"/>
        <v>0</v>
      </c>
      <c r="J224" s="144">
        <f t="shared" si="35"/>
        <v>0</v>
      </c>
      <c r="K224" s="144">
        <f t="shared" si="35"/>
        <v>0</v>
      </c>
      <c r="L224" s="144">
        <f t="shared" si="35"/>
        <v>0</v>
      </c>
      <c r="M224" s="144">
        <f t="shared" si="35"/>
        <v>0</v>
      </c>
      <c r="N224" s="144">
        <f t="shared" si="35"/>
        <v>0</v>
      </c>
      <c r="O224" s="144">
        <f t="shared" si="35"/>
        <v>0</v>
      </c>
      <c r="P224" s="144">
        <f t="shared" si="35"/>
        <v>0</v>
      </c>
      <c r="Q224" s="144">
        <f t="shared" si="35"/>
        <v>0</v>
      </c>
      <c r="R224" s="144">
        <f t="shared" si="35"/>
        <v>0</v>
      </c>
      <c r="S224" s="144">
        <f t="shared" si="35"/>
        <v>0</v>
      </c>
      <c r="T224" s="144">
        <f t="shared" si="35"/>
        <v>0</v>
      </c>
      <c r="U224" s="144">
        <f t="shared" si="35"/>
        <v>0</v>
      </c>
      <c r="V224" s="144">
        <f t="shared" si="35"/>
        <v>0</v>
      </c>
      <c r="W224" s="144">
        <f t="shared" si="35"/>
        <v>0</v>
      </c>
      <c r="X224" s="144">
        <f t="shared" si="35"/>
        <v>0</v>
      </c>
      <c r="Y224" s="144">
        <f t="shared" si="35"/>
        <v>0</v>
      </c>
      <c r="Z224" s="144">
        <f t="shared" si="35"/>
        <v>0</v>
      </c>
      <c r="AA224" s="144">
        <f t="shared" si="35"/>
        <v>0</v>
      </c>
      <c r="AB224" s="144">
        <f t="shared" si="35"/>
        <v>0</v>
      </c>
      <c r="AC224" s="144">
        <f t="shared" si="35"/>
        <v>0</v>
      </c>
      <c r="AD224" s="144">
        <f t="shared" si="35"/>
        <v>0</v>
      </c>
      <c r="AE224" s="144">
        <f t="shared" si="35"/>
        <v>0</v>
      </c>
      <c r="AF224" s="145">
        <f t="shared" si="35"/>
        <v>0</v>
      </c>
      <c r="AG224" s="146">
        <f t="shared" si="35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36">AF226</f>
        <v>0</v>
      </c>
      <c r="C226" s="149">
        <v>0.3</v>
      </c>
      <c r="D226" s="149">
        <f t="shared" ref="D226:P231" si="37">C226</f>
        <v>0.3</v>
      </c>
      <c r="E226" s="149">
        <f t="shared" si="37"/>
        <v>0.3</v>
      </c>
      <c r="F226" s="149">
        <f t="shared" si="37"/>
        <v>0.3</v>
      </c>
      <c r="G226" s="149">
        <f t="shared" si="37"/>
        <v>0.3</v>
      </c>
      <c r="H226" s="149">
        <f t="shared" si="37"/>
        <v>0.3</v>
      </c>
      <c r="I226" s="149">
        <f t="shared" si="37"/>
        <v>0.3</v>
      </c>
      <c r="J226" s="149">
        <f t="shared" si="37"/>
        <v>0.3</v>
      </c>
      <c r="K226" s="149">
        <f t="shared" si="37"/>
        <v>0.3</v>
      </c>
      <c r="L226" s="149">
        <f t="shared" si="37"/>
        <v>0.3</v>
      </c>
      <c r="M226" s="149">
        <f t="shared" si="37"/>
        <v>0.3</v>
      </c>
      <c r="N226" s="149">
        <f t="shared" si="37"/>
        <v>0.3</v>
      </c>
      <c r="O226" s="149">
        <f t="shared" si="37"/>
        <v>0.3</v>
      </c>
      <c r="P226" s="149">
        <f t="shared" si="37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36"/>
        <v>0</v>
      </c>
      <c r="C227" s="136">
        <v>0.4</v>
      </c>
      <c r="D227" s="136">
        <f t="shared" si="37"/>
        <v>0.4</v>
      </c>
      <c r="E227" s="136">
        <f t="shared" si="37"/>
        <v>0.4</v>
      </c>
      <c r="F227" s="136">
        <f t="shared" si="37"/>
        <v>0.4</v>
      </c>
      <c r="G227" s="136">
        <f t="shared" si="37"/>
        <v>0.4</v>
      </c>
      <c r="H227" s="136">
        <f t="shared" si="37"/>
        <v>0.4</v>
      </c>
      <c r="I227" s="136">
        <f t="shared" si="37"/>
        <v>0.4</v>
      </c>
      <c r="J227" s="136">
        <f t="shared" si="37"/>
        <v>0.4</v>
      </c>
      <c r="K227" s="136">
        <f t="shared" si="37"/>
        <v>0.4</v>
      </c>
      <c r="L227" s="136">
        <f t="shared" si="37"/>
        <v>0.4</v>
      </c>
      <c r="M227" s="136">
        <f t="shared" si="37"/>
        <v>0.4</v>
      </c>
      <c r="N227" s="136">
        <f t="shared" si="37"/>
        <v>0.4</v>
      </c>
      <c r="O227" s="136">
        <f t="shared" si="37"/>
        <v>0.4</v>
      </c>
      <c r="P227" s="136">
        <f t="shared" si="37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36"/>
        <v>0</v>
      </c>
      <c r="C228" s="136">
        <v>1.5</v>
      </c>
      <c r="D228" s="136">
        <f t="shared" si="37"/>
        <v>1.5</v>
      </c>
      <c r="E228" s="136">
        <f t="shared" si="37"/>
        <v>1.5</v>
      </c>
      <c r="F228" s="136">
        <f t="shared" si="37"/>
        <v>1.5</v>
      </c>
      <c r="G228" s="136">
        <f t="shared" si="37"/>
        <v>1.5</v>
      </c>
      <c r="H228" s="136">
        <f t="shared" si="37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37"/>
        <v>1.5</v>
      </c>
      <c r="K228" s="136">
        <f t="shared" ca="1" si="37"/>
        <v>1.5</v>
      </c>
      <c r="L228" s="136">
        <f t="shared" ca="1" si="37"/>
        <v>1.5</v>
      </c>
      <c r="M228" s="136">
        <f t="shared" ca="1" si="37"/>
        <v>1.5</v>
      </c>
      <c r="N228" s="136">
        <f t="shared" ca="1" si="37"/>
        <v>1.5</v>
      </c>
      <c r="O228" s="136">
        <f t="shared" ca="1" si="37"/>
        <v>1.5</v>
      </c>
      <c r="P228" s="136">
        <f t="shared" ca="1" si="37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36"/>
        <v>0</v>
      </c>
      <c r="C229" s="136">
        <v>0.3</v>
      </c>
      <c r="D229" s="136">
        <f t="shared" si="37"/>
        <v>0.3</v>
      </c>
      <c r="E229" s="136">
        <f t="shared" si="37"/>
        <v>0.3</v>
      </c>
      <c r="F229" s="136">
        <f t="shared" si="37"/>
        <v>0.3</v>
      </c>
      <c r="G229" s="136">
        <f t="shared" si="37"/>
        <v>0.3</v>
      </c>
      <c r="H229" s="136">
        <f t="shared" si="37"/>
        <v>0.3</v>
      </c>
      <c r="I229" s="136">
        <f t="shared" si="37"/>
        <v>0.3</v>
      </c>
      <c r="J229" s="136">
        <f t="shared" si="37"/>
        <v>0.3</v>
      </c>
      <c r="K229" s="136">
        <f t="shared" si="37"/>
        <v>0.3</v>
      </c>
      <c r="L229" s="136">
        <f t="shared" si="37"/>
        <v>0.3</v>
      </c>
      <c r="M229" s="136">
        <f t="shared" si="37"/>
        <v>0.3</v>
      </c>
      <c r="N229" s="136">
        <f t="shared" si="37"/>
        <v>0.3</v>
      </c>
      <c r="O229" s="136">
        <f t="shared" si="37"/>
        <v>0.3</v>
      </c>
      <c r="P229" s="136">
        <f t="shared" si="37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36"/>
        <v>0</v>
      </c>
      <c r="C230" s="136">
        <v>0.4</v>
      </c>
      <c r="D230" s="136">
        <f t="shared" si="37"/>
        <v>0.4</v>
      </c>
      <c r="E230" s="136">
        <f t="shared" si="37"/>
        <v>0.4</v>
      </c>
      <c r="F230" s="136">
        <f t="shared" si="37"/>
        <v>0.4</v>
      </c>
      <c r="G230" s="136">
        <f t="shared" si="37"/>
        <v>0.4</v>
      </c>
      <c r="H230" s="136">
        <f t="shared" si="37"/>
        <v>0.4</v>
      </c>
      <c r="I230" s="136">
        <f t="shared" si="37"/>
        <v>0.4</v>
      </c>
      <c r="J230" s="136">
        <f t="shared" si="37"/>
        <v>0.4</v>
      </c>
      <c r="K230" s="136">
        <f t="shared" si="37"/>
        <v>0.4</v>
      </c>
      <c r="L230" s="136">
        <f t="shared" si="37"/>
        <v>0.4</v>
      </c>
      <c r="M230" s="136">
        <f t="shared" si="37"/>
        <v>0.4</v>
      </c>
      <c r="N230" s="136">
        <f t="shared" si="37"/>
        <v>0.4</v>
      </c>
      <c r="O230" s="136">
        <f t="shared" si="37"/>
        <v>0.4</v>
      </c>
      <c r="P230" s="136">
        <f t="shared" si="37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36"/>
        <v>0</v>
      </c>
      <c r="C231" s="140">
        <v>0.64</v>
      </c>
      <c r="D231" s="140">
        <f t="shared" si="37"/>
        <v>0.64</v>
      </c>
      <c r="E231" s="140">
        <f t="shared" si="37"/>
        <v>0.64</v>
      </c>
      <c r="F231" s="140">
        <f t="shared" si="37"/>
        <v>0.64</v>
      </c>
      <c r="G231" s="140">
        <f t="shared" si="37"/>
        <v>0.64</v>
      </c>
      <c r="H231" s="140">
        <f t="shared" si="37"/>
        <v>0.64</v>
      </c>
      <c r="I231" s="140">
        <f t="shared" si="37"/>
        <v>0.64</v>
      </c>
      <c r="J231" s="140">
        <f t="shared" si="37"/>
        <v>0.64</v>
      </c>
      <c r="K231" s="140">
        <f t="shared" si="37"/>
        <v>0.64</v>
      </c>
      <c r="L231" s="140">
        <f t="shared" si="37"/>
        <v>0.64</v>
      </c>
      <c r="M231" s="140">
        <f t="shared" si="37"/>
        <v>0.64</v>
      </c>
      <c r="N231" s="140">
        <f t="shared" si="37"/>
        <v>0.64</v>
      </c>
      <c r="O231" s="140">
        <f t="shared" si="37"/>
        <v>0.64</v>
      </c>
      <c r="P231" s="140">
        <f t="shared" si="37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38">SUM(B226:B231)</f>
        <v>0</v>
      </c>
      <c r="C232" s="144">
        <f t="shared" si="38"/>
        <v>3.54</v>
      </c>
      <c r="D232" s="144">
        <f t="shared" si="38"/>
        <v>3.54</v>
      </c>
      <c r="E232" s="144">
        <f t="shared" si="38"/>
        <v>3.54</v>
      </c>
      <c r="F232" s="144">
        <f t="shared" si="38"/>
        <v>3.54</v>
      </c>
      <c r="G232" s="144">
        <f t="shared" si="38"/>
        <v>3.54</v>
      </c>
      <c r="H232" s="144">
        <f t="shared" si="38"/>
        <v>3.54</v>
      </c>
      <c r="I232" s="144">
        <f t="shared" ca="1" si="38"/>
        <v>3.54</v>
      </c>
      <c r="J232" s="144">
        <f t="shared" ca="1" si="38"/>
        <v>3.54</v>
      </c>
      <c r="K232" s="144">
        <f t="shared" ca="1" si="38"/>
        <v>3.54</v>
      </c>
      <c r="L232" s="144">
        <f t="shared" ca="1" si="38"/>
        <v>3.54</v>
      </c>
      <c r="M232" s="144">
        <f t="shared" ca="1" si="38"/>
        <v>3.54</v>
      </c>
      <c r="N232" s="144">
        <f t="shared" ca="1" si="38"/>
        <v>3.54</v>
      </c>
      <c r="O232" s="144">
        <f t="shared" ca="1" si="38"/>
        <v>3.54</v>
      </c>
      <c r="P232" s="144">
        <f t="shared" ca="1" si="38"/>
        <v>3.54</v>
      </c>
      <c r="Q232" s="144">
        <f t="shared" si="38"/>
        <v>0</v>
      </c>
      <c r="R232" s="144">
        <f t="shared" si="38"/>
        <v>0</v>
      </c>
      <c r="S232" s="144">
        <f t="shared" si="38"/>
        <v>0</v>
      </c>
      <c r="T232" s="144">
        <f t="shared" si="38"/>
        <v>0</v>
      </c>
      <c r="U232" s="144">
        <f t="shared" si="38"/>
        <v>0</v>
      </c>
      <c r="V232" s="144">
        <f t="shared" si="38"/>
        <v>0</v>
      </c>
      <c r="W232" s="144">
        <f t="shared" si="38"/>
        <v>0</v>
      </c>
      <c r="X232" s="144">
        <f t="shared" si="38"/>
        <v>0</v>
      </c>
      <c r="Y232" s="144">
        <f t="shared" si="38"/>
        <v>0</v>
      </c>
      <c r="Z232" s="144">
        <f t="shared" si="38"/>
        <v>0</v>
      </c>
      <c r="AA232" s="144">
        <f t="shared" si="38"/>
        <v>0</v>
      </c>
      <c r="AB232" s="144">
        <f t="shared" si="38"/>
        <v>0</v>
      </c>
      <c r="AC232" s="144">
        <f t="shared" si="38"/>
        <v>0</v>
      </c>
      <c r="AD232" s="144">
        <f t="shared" si="38"/>
        <v>0</v>
      </c>
      <c r="AE232" s="144">
        <f t="shared" si="38"/>
        <v>0</v>
      </c>
      <c r="AF232" s="144">
        <f t="shared" si="38"/>
        <v>0</v>
      </c>
      <c r="AG232" s="154">
        <f t="shared" si="38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1461.1399999999999</v>
      </c>
      <c r="C241" s="170">
        <f>INDEX(G9:N9,1,MATCH(MAX(G89:N89),G89:N89,0))</f>
        <v>0.33333333333333331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16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2079/12/16)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2079/12/16)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39">B89</f>
        <v>1369.6399999999999</v>
      </c>
      <c r="U246" s="180">
        <f t="shared" si="39"/>
        <v>1226.3399999999999</v>
      </c>
      <c r="V246" s="180">
        <f t="shared" si="39"/>
        <v>1216.04</v>
      </c>
      <c r="W246" s="180">
        <f t="shared" si="39"/>
        <v>1211.04</v>
      </c>
      <c r="X246" s="180">
        <f t="shared" si="39"/>
        <v>1209.24</v>
      </c>
      <c r="Y246" s="180">
        <f t="shared" si="39"/>
        <v>1229.6399999999999</v>
      </c>
      <c r="Z246" s="180">
        <f t="shared" si="39"/>
        <v>1189.6399999999999</v>
      </c>
      <c r="AA246" s="180">
        <f t="shared" si="39"/>
        <v>1190.24</v>
      </c>
      <c r="AB246" s="180">
        <f t="shared" si="39"/>
        <v>1169.24</v>
      </c>
      <c r="AC246" s="180">
        <f t="shared" si="39"/>
        <v>1161.6399999999999</v>
      </c>
      <c r="AD246" s="180">
        <f t="shared" si="39"/>
        <v>1302.6399999999999</v>
      </c>
      <c r="AE246" s="180">
        <f t="shared" si="39"/>
        <v>1461.1399999999999</v>
      </c>
      <c r="AF246" s="180">
        <f t="shared" si="39"/>
        <v>1443.8600000000001</v>
      </c>
      <c r="AG246" s="180">
        <f t="shared" si="39"/>
        <v>1425.7599999999998</v>
      </c>
      <c r="AH246" s="180">
        <f t="shared" si="39"/>
        <v>1465.1599999999999</v>
      </c>
      <c r="AI246" s="180">
        <f t="shared" si="39"/>
        <v>1404.26</v>
      </c>
      <c r="AJ246" s="180">
        <f t="shared" si="39"/>
        <v>1396.6599999999999</v>
      </c>
      <c r="AK246" s="180">
        <f t="shared" si="39"/>
        <v>1430.96</v>
      </c>
      <c r="AL246" s="180">
        <f t="shared" si="39"/>
        <v>1363.6599999999999</v>
      </c>
      <c r="AM246" s="180">
        <f t="shared" si="39"/>
        <v>1385.86</v>
      </c>
      <c r="AN246" s="180">
        <f t="shared" si="39"/>
        <v>1353.9399999999998</v>
      </c>
      <c r="AO246" s="180">
        <f t="shared" si="39"/>
        <v>1359.34</v>
      </c>
      <c r="AP246" s="180">
        <f t="shared" si="39"/>
        <v>1322.1399999999999</v>
      </c>
      <c r="AQ246" s="180">
        <f t="shared" si="39"/>
        <v>1412.2399999999998</v>
      </c>
      <c r="AR246" s="180">
        <f t="shared" si="39"/>
        <v>1492.04</v>
      </c>
      <c r="AS246" s="180">
        <f t="shared" si="39"/>
        <v>1531.14</v>
      </c>
      <c r="AT246" s="180">
        <f t="shared" si="39"/>
        <v>1467.1399999999999</v>
      </c>
      <c r="AU246" s="180">
        <f t="shared" si="39"/>
        <v>1428.1399999999999</v>
      </c>
      <c r="AV246" s="180">
        <f t="shared" si="39"/>
        <v>1379.1399999999999</v>
      </c>
      <c r="AW246" s="180">
        <f t="shared" si="39"/>
        <v>1331.1399999999999</v>
      </c>
      <c r="AX246" s="180">
        <f t="shared" si="39"/>
        <v>1300.1399999999999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40">C231</f>
        <v>0.64</v>
      </c>
      <c r="C267" s="183">
        <f t="shared" si="40"/>
        <v>0.64</v>
      </c>
      <c r="D267" s="183">
        <f t="shared" si="40"/>
        <v>0.64</v>
      </c>
      <c r="E267" s="183">
        <f t="shared" si="40"/>
        <v>0.64</v>
      </c>
      <c r="F267" s="183">
        <f t="shared" si="40"/>
        <v>0.64</v>
      </c>
      <c r="G267" s="183">
        <f t="shared" si="40"/>
        <v>0.64</v>
      </c>
      <c r="H267" s="183">
        <f t="shared" si="40"/>
        <v>0.64</v>
      </c>
      <c r="I267" s="183">
        <f t="shared" si="40"/>
        <v>0.64</v>
      </c>
      <c r="J267" s="183">
        <f t="shared" si="40"/>
        <v>0.64</v>
      </c>
      <c r="K267" s="183">
        <f t="shared" si="40"/>
        <v>0.64</v>
      </c>
      <c r="L267" s="183">
        <f t="shared" si="40"/>
        <v>0.64</v>
      </c>
      <c r="M267" s="183">
        <f t="shared" si="40"/>
        <v>0.64</v>
      </c>
      <c r="N267" s="183">
        <f t="shared" si="40"/>
        <v>0.64</v>
      </c>
      <c r="O267" s="183">
        <f t="shared" si="40"/>
        <v>0.64</v>
      </c>
      <c r="P267" s="183">
        <f t="shared" si="40"/>
        <v>0</v>
      </c>
      <c r="Q267" s="183">
        <f t="shared" si="40"/>
        <v>0</v>
      </c>
      <c r="R267" s="183">
        <f t="shared" si="40"/>
        <v>0</v>
      </c>
      <c r="S267" s="183">
        <f t="shared" si="40"/>
        <v>0</v>
      </c>
      <c r="T267" s="183">
        <f t="shared" si="40"/>
        <v>0</v>
      </c>
      <c r="U267" s="183">
        <f t="shared" si="40"/>
        <v>0</v>
      </c>
      <c r="V267" s="183">
        <f t="shared" si="40"/>
        <v>0</v>
      </c>
      <c r="W267" s="183">
        <f t="shared" si="40"/>
        <v>0</v>
      </c>
      <c r="X267" s="183">
        <f t="shared" si="40"/>
        <v>0</v>
      </c>
      <c r="Y267" s="183">
        <f t="shared" si="40"/>
        <v>0</v>
      </c>
      <c r="Z267" s="183">
        <f t="shared" si="40"/>
        <v>0</v>
      </c>
      <c r="AA267" s="183">
        <f t="shared" si="40"/>
        <v>0</v>
      </c>
      <c r="AB267" s="183">
        <f t="shared" si="40"/>
        <v>0</v>
      </c>
      <c r="AC267" s="183">
        <f t="shared" si="40"/>
        <v>0</v>
      </c>
      <c r="AD267" s="183">
        <f t="shared" si="40"/>
        <v>0</v>
      </c>
      <c r="AE267" s="183">
        <f t="shared" si="40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41">IF(B235&lt;100,"",B235-520)</f>
        <v/>
      </c>
      <c r="C268" s="184" t="str">
        <f t="shared" si="41"/>
        <v/>
      </c>
      <c r="D268" s="184" t="str">
        <f t="shared" si="41"/>
        <v/>
      </c>
      <c r="E268" s="184" t="str">
        <f t="shared" si="41"/>
        <v/>
      </c>
      <c r="F268" s="184" t="str">
        <f t="shared" si="41"/>
        <v/>
      </c>
      <c r="G268" s="184" t="str">
        <f t="shared" si="41"/>
        <v/>
      </c>
      <c r="H268" s="184" t="str">
        <f t="shared" si="41"/>
        <v/>
      </c>
      <c r="I268" s="184" t="str">
        <f t="shared" si="41"/>
        <v/>
      </c>
      <c r="J268" s="184" t="str">
        <f t="shared" si="41"/>
        <v/>
      </c>
      <c r="K268" s="184" t="str">
        <f t="shared" si="41"/>
        <v/>
      </c>
      <c r="L268" s="184" t="str">
        <f t="shared" si="41"/>
        <v/>
      </c>
      <c r="M268" s="184" t="str">
        <f t="shared" si="41"/>
        <v/>
      </c>
      <c r="N268" s="184" t="str">
        <f t="shared" si="41"/>
        <v/>
      </c>
      <c r="O268" s="184" t="str">
        <f t="shared" si="41"/>
        <v/>
      </c>
      <c r="P268" s="184" t="str">
        <f t="shared" si="41"/>
        <v/>
      </c>
      <c r="Q268" s="184" t="str">
        <f t="shared" si="41"/>
        <v/>
      </c>
      <c r="R268" s="184" t="str">
        <f t="shared" si="41"/>
        <v/>
      </c>
      <c r="S268" s="184" t="str">
        <f t="shared" si="41"/>
        <v/>
      </c>
      <c r="T268" s="184" t="str">
        <f t="shared" si="41"/>
        <v/>
      </c>
      <c r="U268" s="184" t="str">
        <f t="shared" si="41"/>
        <v/>
      </c>
      <c r="V268" s="184" t="str">
        <f t="shared" si="41"/>
        <v/>
      </c>
      <c r="W268" s="184" t="str">
        <f t="shared" si="41"/>
        <v/>
      </c>
      <c r="X268" s="184" t="str">
        <f t="shared" si="41"/>
        <v/>
      </c>
      <c r="Y268" s="184" t="str">
        <f t="shared" si="41"/>
        <v/>
      </c>
      <c r="Z268" s="184" t="str">
        <f t="shared" si="41"/>
        <v/>
      </c>
      <c r="AA268" s="184" t="str">
        <f t="shared" si="41"/>
        <v/>
      </c>
      <c r="AB268" s="184" t="str">
        <f t="shared" si="41"/>
        <v/>
      </c>
      <c r="AC268" s="184" t="str">
        <f t="shared" si="41"/>
        <v/>
      </c>
      <c r="AD268" s="184" t="str">
        <f t="shared" si="41"/>
        <v/>
      </c>
      <c r="AE268" s="184" t="str">
        <f t="shared" si="41"/>
        <v/>
      </c>
      <c r="AF268" s="184" t="str">
        <f t="shared" si="41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42">IF(B236&lt;100,"",B236-620)</f>
        <v/>
      </c>
      <c r="C269" s="184" t="str">
        <f t="shared" si="42"/>
        <v/>
      </c>
      <c r="D269" s="184" t="str">
        <f t="shared" si="42"/>
        <v/>
      </c>
      <c r="E269" s="184" t="str">
        <f t="shared" si="42"/>
        <v/>
      </c>
      <c r="F269" s="184" t="str">
        <f t="shared" si="42"/>
        <v/>
      </c>
      <c r="G269" s="184" t="str">
        <f t="shared" si="42"/>
        <v/>
      </c>
      <c r="H269" s="184" t="str">
        <f t="shared" si="42"/>
        <v/>
      </c>
      <c r="I269" s="184" t="str">
        <f t="shared" si="42"/>
        <v/>
      </c>
      <c r="J269" s="184" t="str">
        <f t="shared" si="42"/>
        <v/>
      </c>
      <c r="K269" s="184" t="str">
        <f t="shared" si="42"/>
        <v/>
      </c>
      <c r="L269" s="184" t="str">
        <f t="shared" si="42"/>
        <v/>
      </c>
      <c r="M269" s="184" t="str">
        <f t="shared" si="42"/>
        <v/>
      </c>
      <c r="N269" s="184" t="str">
        <f t="shared" si="42"/>
        <v/>
      </c>
      <c r="O269" s="184" t="str">
        <f t="shared" si="42"/>
        <v/>
      </c>
      <c r="P269" s="184" t="str">
        <f t="shared" si="42"/>
        <v/>
      </c>
      <c r="Q269" s="184" t="str">
        <f t="shared" si="42"/>
        <v/>
      </c>
      <c r="R269" s="184" t="str">
        <f t="shared" si="42"/>
        <v/>
      </c>
      <c r="S269" s="184" t="str">
        <f t="shared" si="42"/>
        <v/>
      </c>
      <c r="T269" s="184" t="str">
        <f t="shared" si="42"/>
        <v/>
      </c>
      <c r="U269" s="184" t="str">
        <f t="shared" si="42"/>
        <v/>
      </c>
      <c r="V269" s="184" t="str">
        <f t="shared" si="42"/>
        <v/>
      </c>
      <c r="W269" s="184" t="str">
        <f t="shared" si="42"/>
        <v/>
      </c>
      <c r="X269" s="184" t="str">
        <f t="shared" si="42"/>
        <v/>
      </c>
      <c r="Y269" s="184" t="str">
        <f t="shared" si="42"/>
        <v/>
      </c>
      <c r="Z269" s="184" t="str">
        <f t="shared" si="42"/>
        <v/>
      </c>
      <c r="AA269" s="184" t="str">
        <f t="shared" si="42"/>
        <v/>
      </c>
      <c r="AB269" s="184" t="str">
        <f t="shared" si="42"/>
        <v/>
      </c>
      <c r="AC269" s="184" t="str">
        <f t="shared" si="42"/>
        <v/>
      </c>
      <c r="AD269" s="184" t="str">
        <f t="shared" si="42"/>
        <v/>
      </c>
      <c r="AE269" s="184" t="str">
        <f t="shared" si="42"/>
        <v/>
      </c>
      <c r="AF269" s="184" t="str">
        <f t="shared" si="42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43">IF(B237&lt;100,"",B237-330)</f>
        <v/>
      </c>
      <c r="C270" s="184" t="str">
        <f t="shared" si="43"/>
        <v/>
      </c>
      <c r="D270" s="184" t="str">
        <f t="shared" si="43"/>
        <v/>
      </c>
      <c r="E270" s="184" t="str">
        <f t="shared" si="43"/>
        <v/>
      </c>
      <c r="F270" s="184" t="str">
        <f t="shared" si="43"/>
        <v/>
      </c>
      <c r="G270" s="184" t="str">
        <f t="shared" si="43"/>
        <v/>
      </c>
      <c r="H270" s="184" t="str">
        <f t="shared" si="43"/>
        <v/>
      </c>
      <c r="I270" s="184" t="str">
        <f t="shared" si="43"/>
        <v/>
      </c>
      <c r="J270" s="184" t="str">
        <f t="shared" si="43"/>
        <v/>
      </c>
      <c r="K270" s="184" t="str">
        <f t="shared" si="43"/>
        <v/>
      </c>
      <c r="L270" s="184" t="str">
        <f t="shared" si="43"/>
        <v/>
      </c>
      <c r="M270" s="184" t="str">
        <f t="shared" si="43"/>
        <v/>
      </c>
      <c r="N270" s="184" t="str">
        <f t="shared" si="43"/>
        <v/>
      </c>
      <c r="O270" s="184" t="str">
        <f t="shared" si="43"/>
        <v/>
      </c>
      <c r="P270" s="184" t="str">
        <f t="shared" si="43"/>
        <v/>
      </c>
      <c r="Q270" s="184" t="str">
        <f t="shared" si="43"/>
        <v/>
      </c>
      <c r="R270" s="184" t="str">
        <f t="shared" si="43"/>
        <v/>
      </c>
      <c r="S270" s="184" t="str">
        <f t="shared" si="43"/>
        <v/>
      </c>
      <c r="T270" s="184" t="str">
        <f t="shared" si="43"/>
        <v/>
      </c>
      <c r="U270" s="184" t="str">
        <f t="shared" si="43"/>
        <v/>
      </c>
      <c r="V270" s="184" t="str">
        <f t="shared" si="43"/>
        <v/>
      </c>
      <c r="W270" s="184" t="str">
        <f t="shared" si="43"/>
        <v/>
      </c>
      <c r="X270" s="184" t="str">
        <f t="shared" si="43"/>
        <v/>
      </c>
      <c r="Y270" s="184" t="str">
        <f t="shared" si="43"/>
        <v/>
      </c>
      <c r="Z270" s="184" t="str">
        <f t="shared" si="43"/>
        <v/>
      </c>
      <c r="AA270" s="184" t="str">
        <f t="shared" si="43"/>
        <v/>
      </c>
      <c r="AB270" s="184" t="str">
        <f t="shared" si="43"/>
        <v/>
      </c>
      <c r="AC270" s="184" t="str">
        <f t="shared" si="43"/>
        <v/>
      </c>
      <c r="AD270" s="184" t="str">
        <f t="shared" si="43"/>
        <v/>
      </c>
      <c r="AE270" s="184" t="str">
        <f t="shared" si="43"/>
        <v/>
      </c>
      <c r="AF270" s="184" t="str">
        <f t="shared" si="43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44">IF(B238&lt;100,"",B238-1500)</f>
        <v/>
      </c>
      <c r="C271" s="184" t="str">
        <f t="shared" si="44"/>
        <v/>
      </c>
      <c r="D271" s="184" t="str">
        <f t="shared" si="44"/>
        <v/>
      </c>
      <c r="E271" s="184" t="str">
        <f t="shared" si="44"/>
        <v/>
      </c>
      <c r="F271" s="184" t="str">
        <f t="shared" si="44"/>
        <v/>
      </c>
      <c r="G271" s="184" t="str">
        <f t="shared" si="44"/>
        <v/>
      </c>
      <c r="H271" s="184" t="str">
        <f t="shared" si="44"/>
        <v/>
      </c>
      <c r="I271" s="184" t="str">
        <f t="shared" si="44"/>
        <v/>
      </c>
      <c r="J271" s="184" t="str">
        <f t="shared" si="44"/>
        <v/>
      </c>
      <c r="K271" s="184" t="str">
        <f t="shared" si="44"/>
        <v/>
      </c>
      <c r="L271" s="184" t="str">
        <f t="shared" si="44"/>
        <v/>
      </c>
      <c r="M271" s="184" t="str">
        <f t="shared" si="44"/>
        <v/>
      </c>
      <c r="N271" s="184" t="str">
        <f t="shared" si="44"/>
        <v/>
      </c>
      <c r="O271" s="184" t="str">
        <f t="shared" si="44"/>
        <v/>
      </c>
      <c r="P271" s="184" t="str">
        <f t="shared" si="44"/>
        <v/>
      </c>
      <c r="Q271" s="184" t="str">
        <f t="shared" si="44"/>
        <v/>
      </c>
      <c r="R271" s="184" t="str">
        <f t="shared" si="44"/>
        <v/>
      </c>
      <c r="S271" s="184" t="str">
        <f t="shared" si="44"/>
        <v/>
      </c>
      <c r="T271" s="184" t="str">
        <f t="shared" si="44"/>
        <v/>
      </c>
      <c r="U271" s="184" t="str">
        <f t="shared" si="44"/>
        <v/>
      </c>
      <c r="V271" s="184" t="str">
        <f t="shared" si="44"/>
        <v/>
      </c>
      <c r="W271" s="184" t="str">
        <f t="shared" si="44"/>
        <v/>
      </c>
      <c r="X271" s="184" t="str">
        <f t="shared" si="44"/>
        <v/>
      </c>
      <c r="Y271" s="184" t="str">
        <f t="shared" si="44"/>
        <v/>
      </c>
      <c r="Z271" s="184" t="str">
        <f t="shared" si="44"/>
        <v/>
      </c>
      <c r="AA271" s="184" t="str">
        <f t="shared" si="44"/>
        <v/>
      </c>
      <c r="AB271" s="184" t="str">
        <f t="shared" si="44"/>
        <v/>
      </c>
      <c r="AC271" s="184" t="str">
        <f t="shared" si="44"/>
        <v/>
      </c>
      <c r="AD271" s="184" t="str">
        <f t="shared" si="44"/>
        <v/>
      </c>
      <c r="AE271" s="184" t="str">
        <f t="shared" si="44"/>
        <v/>
      </c>
      <c r="AF271" s="184" t="str">
        <f t="shared" si="44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4461" priority="339">
      <formula>B$9&gt;=20/24</formula>
    </cfRule>
    <cfRule type="expression" dxfId="4460" priority="340">
      <formula>AND(B$9&gt;=14/24,B$9&lt;20/24)</formula>
    </cfRule>
    <cfRule type="expression" dxfId="4459" priority="341">
      <formula>AND(B$9&gt;=8/24,B$9&lt;14/24)</formula>
    </cfRule>
    <cfRule type="expression" dxfId="4458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4457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4456" priority="336">
      <formula>$AH12=0</formula>
    </cfRule>
  </conditionalFormatting>
  <conditionalFormatting sqref="A114">
    <cfRule type="expression" dxfId="4455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4454" priority="333">
      <formula>$AH45=0</formula>
    </cfRule>
  </conditionalFormatting>
  <conditionalFormatting sqref="A98">
    <cfRule type="expression" dxfId="4453" priority="332">
      <formula>$AH98=0</formula>
    </cfRule>
  </conditionalFormatting>
  <conditionalFormatting sqref="A18">
    <cfRule type="expression" dxfId="4452" priority="331">
      <formula>$AH18=0</formula>
    </cfRule>
  </conditionalFormatting>
  <conditionalFormatting sqref="A196:A201">
    <cfRule type="expression" dxfId="4451" priority="330">
      <formula>$AH196=0</formula>
    </cfRule>
  </conditionalFormatting>
  <conditionalFormatting sqref="A190:A195">
    <cfRule type="expression" dxfId="4450" priority="329">
      <formula>$AH190=0</formula>
    </cfRule>
  </conditionalFormatting>
  <conditionalFormatting sqref="A58">
    <cfRule type="expression" dxfId="4449" priority="328">
      <formula>$AH58=0</formula>
    </cfRule>
  </conditionalFormatting>
  <conditionalFormatting sqref="A94">
    <cfRule type="expression" dxfId="4448" priority="327">
      <formula>$AH94=0</formula>
    </cfRule>
  </conditionalFormatting>
  <conditionalFormatting sqref="E99:X99 AD99:AF99">
    <cfRule type="expression" dxfId="4447" priority="323">
      <formula>E$9&gt;=20/24</formula>
    </cfRule>
    <cfRule type="expression" dxfId="4446" priority="324">
      <formula>AND(E$9&gt;=14/24,E$9&lt;20/24)</formula>
    </cfRule>
    <cfRule type="expression" dxfId="4445" priority="325">
      <formula>AND(E$9&gt;=8/24,E$9&lt;14/24)</formula>
    </cfRule>
    <cfRule type="expression" dxfId="4444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443" priority="345">
      <formula>C$9&gt;=20/24</formula>
    </cfRule>
    <cfRule type="expression" dxfId="4442" priority="346">
      <formula>AND(C$9&gt;=14/24,C$9&lt;20/24)</formula>
    </cfRule>
    <cfRule type="expression" dxfId="4441" priority="347">
      <formula>AND(C$9&gt;=8/24,C$9&lt;14/24)</formula>
    </cfRule>
    <cfRule type="expression" dxfId="4440" priority="348">
      <formula>C$9&lt;8/24</formula>
    </cfRule>
  </conditionalFormatting>
  <conditionalFormatting sqref="A233">
    <cfRule type="expression" dxfId="4439" priority="349">
      <formula>$AH233=0</formula>
    </cfRule>
  </conditionalFormatting>
  <conditionalFormatting sqref="AG245">
    <cfRule type="expression" dxfId="4438" priority="350">
      <formula>B$9&gt;=20/24</formula>
    </cfRule>
    <cfRule type="expression" dxfId="4437" priority="351">
      <formula>AND(B$9&gt;=14/24,B$9&lt;20/24)</formula>
    </cfRule>
    <cfRule type="expression" dxfId="4436" priority="352">
      <formula>AND(B$9&gt;=8/24,B$9&lt;14/24)</formula>
    </cfRule>
    <cfRule type="expression" dxfId="4435" priority="353">
      <formula>B$9&lt;8/24</formula>
    </cfRule>
  </conditionalFormatting>
  <conditionalFormatting sqref="S8">
    <cfRule type="expression" dxfId="4434" priority="318">
      <formula>U$9&gt;=20/24</formula>
    </cfRule>
    <cfRule type="expression" dxfId="4433" priority="319">
      <formula>AND(U$9&gt;=14/24,U$9&lt;20/24)</formula>
    </cfRule>
    <cfRule type="expression" dxfId="4432" priority="320">
      <formula>AND(U$9&gt;=8/24,U$9&lt;14/24)</formula>
    </cfRule>
    <cfRule type="expression" dxfId="4431" priority="321">
      <formula>U$9&lt;8/24</formula>
    </cfRule>
  </conditionalFormatting>
  <conditionalFormatting sqref="AB8">
    <cfRule type="expression" dxfId="4430" priority="314">
      <formula>AD$9&gt;=20/24</formula>
    </cfRule>
    <cfRule type="expression" dxfId="4429" priority="315">
      <formula>AND(AD$9&gt;=14/24,AD$9&lt;20/24)</formula>
    </cfRule>
    <cfRule type="expression" dxfId="4428" priority="316">
      <formula>AND(AD$9&gt;=8/24,AD$9&lt;14/24)</formula>
    </cfRule>
    <cfRule type="expression" dxfId="4427" priority="317">
      <formula>AD$9&lt;8/24</formula>
    </cfRule>
  </conditionalFormatting>
  <conditionalFormatting sqref="AH245:AX245">
    <cfRule type="expression" dxfId="4426" priority="354">
      <formula>AG$9&gt;=20/24</formula>
    </cfRule>
    <cfRule type="expression" dxfId="4425" priority="355">
      <formula>AND(AG$9&gt;=14/24,AG$9&lt;20/24)</formula>
    </cfRule>
    <cfRule type="expression" dxfId="4424" priority="356">
      <formula>AND(AG$9&gt;=8/24,AG$9&lt;14/24)</formula>
    </cfRule>
    <cfRule type="expression" dxfId="4423" priority="357">
      <formula>AG$9&lt;8/24</formula>
    </cfRule>
  </conditionalFormatting>
  <conditionalFormatting sqref="T245">
    <cfRule type="expression" dxfId="4422" priority="358">
      <formula>AX$9&gt;=20/24</formula>
    </cfRule>
    <cfRule type="expression" dxfId="4421" priority="359">
      <formula>AND(AX$9&gt;=14/24,AX$9&lt;20/24)</formula>
    </cfRule>
    <cfRule type="expression" dxfId="4420" priority="360">
      <formula>AND(AX$9&gt;=8/24,AX$9&lt;14/24)</formula>
    </cfRule>
    <cfRule type="expression" dxfId="4419" priority="361">
      <formula>AX$9&lt;8/24</formula>
    </cfRule>
  </conditionalFormatting>
  <conditionalFormatting sqref="A115:A116">
    <cfRule type="expression" dxfId="4418" priority="313">
      <formula>$AH115=0</formula>
    </cfRule>
  </conditionalFormatting>
  <conditionalFormatting sqref="AF54:AF57 N54:R58 F71:AF71">
    <cfRule type="expression" dxfId="4417" priority="309">
      <formula>F$9&gt;=20/24</formula>
    </cfRule>
    <cfRule type="expression" dxfId="4416" priority="310">
      <formula>AND(F$9&gt;=14/24,F$9&lt;20/24)</formula>
    </cfRule>
    <cfRule type="expression" dxfId="4415" priority="311">
      <formula>AND(F$9&gt;=8/24,F$9&lt;14/24)</formula>
    </cfRule>
    <cfRule type="expression" dxfId="4414" priority="312">
      <formula>F$9&lt;8/24</formula>
    </cfRule>
  </conditionalFormatting>
  <conditionalFormatting sqref="N53:R53 AC53:AF53">
    <cfRule type="expression" dxfId="4413" priority="305">
      <formula>N$9&gt;=20/24</formula>
    </cfRule>
    <cfRule type="expression" dxfId="4412" priority="306">
      <formula>AND(N$9&gt;=14/24,N$9&lt;20/24)</formula>
    </cfRule>
    <cfRule type="expression" dxfId="4411" priority="307">
      <formula>AND(N$9&gt;=8/24,N$9&lt;14/24)</formula>
    </cfRule>
    <cfRule type="expression" dxfId="4410" priority="308">
      <formula>N$9&lt;8/24</formula>
    </cfRule>
  </conditionalFormatting>
  <conditionalFormatting sqref="N53:R58 AF53:AF57 AC53:AE53">
    <cfRule type="expression" dxfId="4409" priority="304">
      <formula>N53&gt;$AG53</formula>
    </cfRule>
  </conditionalFormatting>
  <conditionalFormatting sqref="M100:X106 X96:AF96 X47:AF47 D86:AF86 I73:L73 M72:AC73 Y74:AC74 AD72:AF74 Y67:AF69 AD100:AF100">
    <cfRule type="expression" dxfId="4408" priority="300">
      <formula>D$9&gt;=20/24</formula>
    </cfRule>
    <cfRule type="expression" dxfId="4407" priority="301">
      <formula>AND(D$9&gt;=14/24,D$9&lt;20/24)</formula>
    </cfRule>
    <cfRule type="expression" dxfId="4406" priority="302">
      <formula>AND(D$9&gt;=8/24,D$9&lt;14/24)</formula>
    </cfRule>
    <cfRule type="expression" dxfId="4405" priority="303">
      <formula>D$9&lt;8/24</formula>
    </cfRule>
  </conditionalFormatting>
  <conditionalFormatting sqref="X47:AF47 Y67:AF69">
    <cfRule type="expression" dxfId="4404" priority="299">
      <formula>X47&gt;$AG47</formula>
    </cfRule>
  </conditionalFormatting>
  <conditionalFormatting sqref="S53:AB58 AC54:AE58 AF58">
    <cfRule type="expression" dxfId="4403" priority="295">
      <formula>S$9&gt;=20/24</formula>
    </cfRule>
    <cfRule type="expression" dxfId="4402" priority="296">
      <formula>AND(S$9&gt;=14/24,S$9&lt;20/24)</formula>
    </cfRule>
    <cfRule type="expression" dxfId="4401" priority="297">
      <formula>AND(S$9&gt;=8/24,S$9&lt;14/24)</formula>
    </cfRule>
    <cfRule type="expression" dxfId="4400" priority="298">
      <formula>S$9&lt;8/24</formula>
    </cfRule>
  </conditionalFormatting>
  <conditionalFormatting sqref="S53:AB58 AC54:AE58 AF58">
    <cfRule type="expression" dxfId="4399" priority="294">
      <formula>S53&gt;$AG53</formula>
    </cfRule>
  </conditionalFormatting>
  <conditionalFormatting sqref="C97:AF97 D88:AF88">
    <cfRule type="expression" dxfId="4398" priority="290">
      <formula>C$9&gt;=20/24</formula>
    </cfRule>
    <cfRule type="expression" dxfId="4397" priority="291">
      <formula>AND(C$9&gt;=14/24,C$9&lt;20/24)</formula>
    </cfRule>
    <cfRule type="expression" dxfId="4396" priority="292">
      <formula>AND(C$9&gt;=8/24,C$9&lt;14/24)</formula>
    </cfRule>
    <cfRule type="expression" dxfId="4395" priority="293">
      <formula>C$9&lt;8/24</formula>
    </cfRule>
  </conditionalFormatting>
  <conditionalFormatting sqref="T47:W47">
    <cfRule type="expression" dxfId="4394" priority="286">
      <formula>T$9&gt;=20/24</formula>
    </cfRule>
    <cfRule type="expression" dxfId="4393" priority="287">
      <formula>AND(T$9&gt;=14/24,T$9&lt;20/24)</formula>
    </cfRule>
    <cfRule type="expression" dxfId="4392" priority="288">
      <formula>AND(T$9&gt;=8/24,T$9&lt;14/24)</formula>
    </cfRule>
    <cfRule type="expression" dxfId="4391" priority="289">
      <formula>T$9&lt;8/24</formula>
    </cfRule>
  </conditionalFormatting>
  <conditionalFormatting sqref="T47:W47">
    <cfRule type="expression" dxfId="4390" priority="285">
      <formula>T47&gt;$AG47</formula>
    </cfRule>
  </conditionalFormatting>
  <conditionalFormatting sqref="AG70 AG87 E100:L106 Q67:X69">
    <cfRule type="expression" dxfId="4389" priority="272">
      <formula>E$9&gt;=20/24</formula>
    </cfRule>
    <cfRule type="expression" dxfId="4388" priority="273">
      <formula>AND(E$9&gt;=14/24,E$9&lt;20/24)</formula>
    </cfRule>
    <cfRule type="expression" dxfId="4387" priority="274">
      <formula>AND(E$9&gt;=8/24,E$9&lt;14/24)</formula>
    </cfRule>
    <cfRule type="expression" dxfId="4386" priority="275">
      <formula>E$9&lt;8/24</formula>
    </cfRule>
  </conditionalFormatting>
  <conditionalFormatting sqref="AG48 AG66 AG70 Q67:X69">
    <cfRule type="expression" dxfId="4385" priority="271">
      <formula>Q48&gt;$AG48</formula>
    </cfRule>
  </conditionalFormatting>
  <conditionalFormatting sqref="A43">
    <cfRule type="expression" dxfId="4384" priority="265">
      <formula>$AH43=0</formula>
    </cfRule>
  </conditionalFormatting>
  <conditionalFormatting sqref="X91:AF95">
    <cfRule type="expression" dxfId="4383" priority="261">
      <formula>X$9&gt;=20/24</formula>
    </cfRule>
    <cfRule type="expression" dxfId="4382" priority="262">
      <formula>AND(X$9&gt;=14/24,X$9&lt;20/24)</formula>
    </cfRule>
    <cfRule type="expression" dxfId="4381" priority="263">
      <formula>AND(X$9&gt;=8/24,X$9&lt;14/24)</formula>
    </cfRule>
    <cfRule type="expression" dxfId="4380" priority="264">
      <formula>X$9&lt;8/24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I49:M49 N49:AF51">
    <cfRule type="expression" dxfId="4379" priority="257">
      <formula>I$9&gt;=20/24</formula>
    </cfRule>
    <cfRule type="expression" dxfId="4378" priority="258">
      <formula>AND(I$9&gt;=14/24,I$9&lt;20/24)</formula>
    </cfRule>
    <cfRule type="expression" dxfId="4377" priority="259">
      <formula>AND(I$9&gt;=8/24,I$9&lt;14/24)</formula>
    </cfRule>
    <cfRule type="expression" dxfId="4376" priority="260">
      <formula>I$9&lt;8/24</formula>
    </cfRule>
  </conditionalFormatting>
  <conditionalFormatting sqref="I49:M49 N49:AF51">
    <cfRule type="expression" dxfId="4375" priority="256">
      <formula>I49&gt;$AG49</formula>
    </cfRule>
  </conditionalFormatting>
  <conditionalFormatting sqref="AG52">
    <cfRule type="expression" dxfId="4374" priority="252">
      <formula>AG$9&gt;=20/24</formula>
    </cfRule>
    <cfRule type="expression" dxfId="4373" priority="253">
      <formula>AND(AG$9&gt;=14/24,AG$9&lt;20/24)</formula>
    </cfRule>
    <cfRule type="expression" dxfId="4372" priority="254">
      <formula>AND(AG$9&gt;=8/24,AG$9&lt;14/24)</formula>
    </cfRule>
    <cfRule type="expression" dxfId="4371" priority="255">
      <formula>AG$9&lt;8/24</formula>
    </cfRule>
  </conditionalFormatting>
  <conditionalFormatting sqref="AG52">
    <cfRule type="expression" dxfId="4370" priority="251">
      <formula>AG52&gt;$AG52</formula>
    </cfRule>
  </conditionalFormatting>
  <conditionalFormatting sqref="C107:AF107">
    <cfRule type="expression" dxfId="4369" priority="247">
      <formula>C$9&gt;=20/24</formula>
    </cfRule>
    <cfRule type="expression" dxfId="4368" priority="248">
      <formula>AND(C$9&gt;=14/24,C$9&lt;20/24)</formula>
    </cfRule>
    <cfRule type="expression" dxfId="4367" priority="249">
      <formula>AND(C$9&gt;=8/24,C$9&lt;14/24)</formula>
    </cfRule>
    <cfRule type="expression" dxfId="4366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4365" priority="245">
      <formula>$AH40=0</formula>
    </cfRule>
  </conditionalFormatting>
  <conditionalFormatting sqref="A90">
    <cfRule type="expression" dxfId="4364" priority="243">
      <formula>$AH90=0</formula>
    </cfRule>
  </conditionalFormatting>
  <conditionalFormatting sqref="A87">
    <cfRule type="expression" dxfId="4363" priority="244">
      <formula>$AH87=0</formula>
    </cfRule>
  </conditionalFormatting>
  <conditionalFormatting sqref="D110:AF110">
    <cfRule type="expression" dxfId="4362" priority="239">
      <formula>D$9&gt;=20/24</formula>
    </cfRule>
    <cfRule type="expression" dxfId="4361" priority="240">
      <formula>AND(D$9&gt;=14/24,D$9&lt;20/24)</formula>
    </cfRule>
    <cfRule type="expression" dxfId="4360" priority="241">
      <formula>AND(D$9&gt;=8/24,D$9&lt;14/24)</formula>
    </cfRule>
    <cfRule type="expression" dxfId="4359" priority="242">
      <formula>D$9&lt;8/24</formula>
    </cfRule>
  </conditionalFormatting>
  <conditionalFormatting sqref="A110">
    <cfRule type="expression" dxfId="4358" priority="238">
      <formula>$AH110=0</formula>
    </cfRule>
  </conditionalFormatting>
  <conditionalFormatting sqref="A21">
    <cfRule type="expression" dxfId="4357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356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4355" priority="230">
      <formula>Y$9&gt;=20/24</formula>
    </cfRule>
    <cfRule type="expression" dxfId="4354" priority="231">
      <formula>AND(Y$9&gt;=14/24,Y$9&lt;20/24)</formula>
    </cfRule>
    <cfRule type="expression" dxfId="4353" priority="232">
      <formula>AND(Y$9&gt;=8/24,Y$9&lt;14/24)</formula>
    </cfRule>
    <cfRule type="expression" dxfId="4352" priority="233">
      <formula>Y$9&lt;8/24</formula>
    </cfRule>
  </conditionalFormatting>
  <conditionalFormatting sqref="Y100:AC106 AD101:AF106">
    <cfRule type="expression" dxfId="4351" priority="226">
      <formula>Y$9&gt;=20/24</formula>
    </cfRule>
    <cfRule type="expression" dxfId="4350" priority="227">
      <formula>AND(Y$9&gt;=14/24,Y$9&lt;20/24)</formula>
    </cfRule>
    <cfRule type="expression" dxfId="4349" priority="228">
      <formula>AND(Y$9&gt;=8/24,Y$9&lt;14/24)</formula>
    </cfRule>
    <cfRule type="expression" dxfId="4348" priority="229">
      <formula>Y$9&lt;8/24</formula>
    </cfRule>
  </conditionalFormatting>
  <conditionalFormatting sqref="C109 C111:C116">
    <cfRule type="expression" dxfId="4347" priority="222">
      <formula>C$9&gt;=20/24</formula>
    </cfRule>
    <cfRule type="expression" dxfId="4346" priority="223">
      <formula>AND(C$9&gt;=14/24,C$9&lt;20/24)</formula>
    </cfRule>
    <cfRule type="expression" dxfId="4345" priority="224">
      <formula>AND(C$9&gt;=8/24,C$9&lt;14/24)</formula>
    </cfRule>
    <cfRule type="expression" dxfId="4344" priority="225">
      <formula>C$9&lt;8/24</formula>
    </cfRule>
  </conditionalFormatting>
  <conditionalFormatting sqref="C47:S47">
    <cfRule type="expression" dxfId="4343" priority="218">
      <formula>C$9&gt;=20/24</formula>
    </cfRule>
    <cfRule type="expression" dxfId="4342" priority="219">
      <formula>AND(C$9&gt;=14/24,C$9&lt;20/24)</formula>
    </cfRule>
    <cfRule type="expression" dxfId="4341" priority="220">
      <formula>AND(C$9&gt;=8/24,C$9&lt;14/24)</formula>
    </cfRule>
    <cfRule type="expression" dxfId="4340" priority="221">
      <formula>C$9&lt;8/24</formula>
    </cfRule>
  </conditionalFormatting>
  <conditionalFormatting sqref="C47:S47">
    <cfRule type="expression" dxfId="4339" priority="217">
      <formula>C47&gt;$AG47</formula>
    </cfRule>
  </conditionalFormatting>
  <conditionalFormatting sqref="C86 C96:W96 C83:AF85 M67:P69 M74:X76 Y75:AF76">
    <cfRule type="expression" dxfId="4338" priority="209">
      <formula>C$9&gt;=20/24</formula>
    </cfRule>
    <cfRule type="expression" dxfId="4337" priority="210">
      <formula>AND(C$9&gt;=14/24,C$9&lt;20/24)</formula>
    </cfRule>
    <cfRule type="expression" dxfId="4336" priority="211">
      <formula>AND(C$9&gt;=8/24,C$9&lt;14/24)</formula>
    </cfRule>
    <cfRule type="expression" dxfId="4335" priority="212">
      <formula>C$9&lt;8/24</formula>
    </cfRule>
  </conditionalFormatting>
  <conditionalFormatting sqref="M67:P69">
    <cfRule type="expression" dxfId="4334" priority="208">
      <formula>M67&gt;$AG67</formula>
    </cfRule>
  </conditionalFormatting>
  <conditionalFormatting sqref="B71:E71 B54:M57">
    <cfRule type="expression" dxfId="4333" priority="132">
      <formula>B$9&gt;=20/24</formula>
    </cfRule>
    <cfRule type="expression" dxfId="4332" priority="133">
      <formula>AND(B$9&gt;=14/24,B$9&lt;20/24)</formula>
    </cfRule>
    <cfRule type="expression" dxfId="4331" priority="134">
      <formula>AND(B$9&gt;=8/24,B$9&lt;14/24)</formula>
    </cfRule>
    <cfRule type="expression" dxfId="4330" priority="135">
      <formula>B$9&lt;8/24</formula>
    </cfRule>
  </conditionalFormatting>
  <conditionalFormatting sqref="C98:AF98 C87:AF87 C89:AF89 C70:AF70">
    <cfRule type="expression" dxfId="4329" priority="199">
      <formula>C$9&gt;=20/24</formula>
    </cfRule>
    <cfRule type="expression" dxfId="4328" priority="200">
      <formula>AND(C$9&gt;=14/24,C$9&lt;20/24)</formula>
    </cfRule>
    <cfRule type="expression" dxfId="4327" priority="201">
      <formula>AND(C$9&gt;=8/24,C$9&lt;14/24)</formula>
    </cfRule>
    <cfRule type="expression" dxfId="4326" priority="202">
      <formula>C$9&lt;8/24</formula>
    </cfRule>
  </conditionalFormatting>
  <conditionalFormatting sqref="C70:AF70 C65:AF66">
    <cfRule type="expression" dxfId="4325" priority="198">
      <formula>C65&gt;$AG65</formula>
    </cfRule>
  </conditionalFormatting>
  <conditionalFormatting sqref="C82:AF82">
    <cfRule type="expression" dxfId="4324" priority="194">
      <formula>C$9&gt;=20/24</formula>
    </cfRule>
    <cfRule type="expression" dxfId="4323" priority="195">
      <formula>AND(C$9&gt;=14/24,C$9&lt;20/24)</formula>
    </cfRule>
    <cfRule type="expression" dxfId="4322" priority="196">
      <formula>AND(C$9&gt;=8/24,C$9&lt;14/24)</formula>
    </cfRule>
    <cfRule type="expression" dxfId="4321" priority="197">
      <formula>C$9&lt;8/24</formula>
    </cfRule>
  </conditionalFormatting>
  <conditionalFormatting sqref="C91:W95">
    <cfRule type="expression" dxfId="4320" priority="190">
      <formula>C$9&gt;=20/24</formula>
    </cfRule>
    <cfRule type="expression" dxfId="4319" priority="191">
      <formula>AND(C$9&gt;=14/24,C$9&lt;20/24)</formula>
    </cfRule>
    <cfRule type="expression" dxfId="4318" priority="192">
      <formula>AND(C$9&gt;=8/24,C$9&lt;14/24)</formula>
    </cfRule>
    <cfRule type="expression" dxfId="4317" priority="193">
      <formula>C$9&lt;8/24</formula>
    </cfRule>
  </conditionalFormatting>
  <conditionalFormatting sqref="C52:AF52">
    <cfRule type="expression" dxfId="4316" priority="186">
      <formula>C$9&gt;=20/24</formula>
    </cfRule>
    <cfRule type="expression" dxfId="4315" priority="187">
      <formula>AND(C$9&gt;=14/24,C$9&lt;20/24)</formula>
    </cfRule>
    <cfRule type="expression" dxfId="4314" priority="188">
      <formula>AND(C$9&gt;=8/24,C$9&lt;14/24)</formula>
    </cfRule>
    <cfRule type="expression" dxfId="4313" priority="189">
      <formula>C$9&lt;8/24</formula>
    </cfRule>
  </conditionalFormatting>
  <conditionalFormatting sqref="C52:AF52">
    <cfRule type="expression" dxfId="4312" priority="185">
      <formula>C52&gt;$AG52</formula>
    </cfRule>
  </conditionalFormatting>
  <conditionalFormatting sqref="B49:H51 I50:M51">
    <cfRule type="expression" dxfId="4311" priority="100">
      <formula>B$9&gt;=20/24</formula>
    </cfRule>
    <cfRule type="expression" dxfId="4310" priority="101">
      <formula>AND(B$9&gt;=14/24,B$9&lt;20/24)</formula>
    </cfRule>
    <cfRule type="expression" dxfId="4309" priority="102">
      <formula>AND(B$9&gt;=8/24,B$9&lt;14/24)</formula>
    </cfRule>
    <cfRule type="expression" dxfId="4308" priority="103">
      <formula>B$9&lt;8/24</formula>
    </cfRule>
  </conditionalFormatting>
  <conditionalFormatting sqref="C110">
    <cfRule type="expression" dxfId="4307" priority="177">
      <formula>C$9&gt;=20/24</formula>
    </cfRule>
    <cfRule type="expression" dxfId="4306" priority="178">
      <formula>AND(C$9&gt;=14/24,C$9&lt;20/24)</formula>
    </cfRule>
    <cfRule type="expression" dxfId="4305" priority="179">
      <formula>AND(C$9&gt;=8/24,C$9&lt;14/24)</formula>
    </cfRule>
    <cfRule type="expression" dxfId="4304" priority="180">
      <formula>C$9&lt;8/24</formula>
    </cfRule>
  </conditionalFormatting>
  <conditionalFormatting sqref="N59:AF64">
    <cfRule type="expression" dxfId="4303" priority="173">
      <formula>N$9&gt;=20/24</formula>
    </cfRule>
    <cfRule type="expression" dxfId="4302" priority="174">
      <formula>AND(N$9&gt;=14/24,N$9&lt;20/24)</formula>
    </cfRule>
    <cfRule type="expression" dxfId="4301" priority="175">
      <formula>AND(N$9&gt;=8/24,N$9&lt;14/24)</formula>
    </cfRule>
    <cfRule type="expression" dxfId="4300" priority="176">
      <formula>N$9&lt;8/24</formula>
    </cfRule>
  </conditionalFormatting>
  <conditionalFormatting sqref="N59:AF64">
    <cfRule type="expression" dxfId="4299" priority="172">
      <formula>N59&gt;$AG59</formula>
    </cfRule>
  </conditionalFormatting>
  <conditionalFormatting sqref="M77:AF81">
    <cfRule type="expression" dxfId="4298" priority="154">
      <formula>M$9&gt;=20/24</formula>
    </cfRule>
    <cfRule type="expression" dxfId="4297" priority="155">
      <formula>AND(M$9&gt;=14/24,M$9&lt;20/24)</formula>
    </cfRule>
    <cfRule type="expression" dxfId="4296" priority="156">
      <formula>AND(M$9&gt;=8/24,M$9&lt;14/24)</formula>
    </cfRule>
    <cfRule type="expression" dxfId="4295" priority="157">
      <formula>M$9&lt;8/24</formula>
    </cfRule>
  </conditionalFormatting>
  <conditionalFormatting sqref="AL78:AN78 AL84:AN84 AN79:AN80">
    <cfRule type="expression" dxfId="4294" priority="150">
      <formula>AL$9&gt;=20/24</formula>
    </cfRule>
    <cfRule type="expression" dxfId="4293" priority="151">
      <formula>AND(AL$9&gt;=14/24,AL$9&lt;20/24)</formula>
    </cfRule>
    <cfRule type="expression" dxfId="4292" priority="152">
      <formula>AND(AL$9&gt;=8/24,AL$9&lt;14/24)</formula>
    </cfRule>
    <cfRule type="expression" dxfId="4291" priority="153">
      <formula>AL$9&lt;8/24</formula>
    </cfRule>
  </conditionalFormatting>
  <conditionalFormatting sqref="AN81:AN82">
    <cfRule type="expression" dxfId="4290" priority="146">
      <formula>AN$9&gt;=20/24</formula>
    </cfRule>
    <cfRule type="expression" dxfId="4289" priority="147">
      <formula>AND(AN$9&gt;=14/24,AN$9&lt;20/24)</formula>
    </cfRule>
    <cfRule type="expression" dxfId="4288" priority="148">
      <formula>AND(AN$9&gt;=8/24,AN$9&lt;14/24)</formula>
    </cfRule>
    <cfRule type="expression" dxfId="4287" priority="149">
      <formula>AN$9&lt;8/24</formula>
    </cfRule>
  </conditionalFormatting>
  <conditionalFormatting sqref="AL79:AM83">
    <cfRule type="expression" dxfId="4286" priority="363">
      <formula>AJ$9&gt;=20/24</formula>
    </cfRule>
    <cfRule type="expression" dxfId="4285" priority="364">
      <formula>AND(AJ$9&gt;=14/24,AJ$9&lt;20/24)</formula>
    </cfRule>
    <cfRule type="expression" dxfId="4284" priority="365">
      <formula>AND(AJ$9&gt;=8/24,AJ$9&lt;14/24)</formula>
    </cfRule>
    <cfRule type="expression" dxfId="4283" priority="366">
      <formula>AJ$9&lt;8/24</formula>
    </cfRule>
  </conditionalFormatting>
  <conditionalFormatting sqref="A117">
    <cfRule type="expression" dxfId="4282" priority="145">
      <formula>$AH117=0</formula>
    </cfRule>
  </conditionalFormatting>
  <conditionalFormatting sqref="B109 B111:B116 B12:AF15 B34:AF43 B45:AF45 B17:AF32">
    <cfRule type="expression" dxfId="4281" priority="141">
      <formula>B$9&gt;=20/24</formula>
    </cfRule>
    <cfRule type="expression" dxfId="4280" priority="142">
      <formula>AND(B$9&gt;=14/24,B$9&lt;20/24)</formula>
    </cfRule>
    <cfRule type="expression" dxfId="4279" priority="143">
      <formula>AND(B$9&gt;=8/24,B$9&lt;14/24)</formula>
    </cfRule>
    <cfRule type="expression" dxfId="4278" priority="144">
      <formula>B$9&lt;8/24</formula>
    </cfRule>
  </conditionalFormatting>
  <conditionalFormatting sqref="B12:AF15 B34:AF43 B45:AF45 B17:AF32">
    <cfRule type="expression" dxfId="4277" priority="140">
      <formula>B12&gt;$AG12</formula>
    </cfRule>
  </conditionalFormatting>
  <conditionalFormatting sqref="B99:D99">
    <cfRule type="expression" dxfId="4276" priority="136">
      <formula>B$9&gt;=20/24</formula>
    </cfRule>
    <cfRule type="expression" dxfId="4275" priority="137">
      <formula>AND(B$9&gt;=14/24,B$9&lt;20/24)</formula>
    </cfRule>
    <cfRule type="expression" dxfId="4274" priority="138">
      <formula>AND(B$9&gt;=8/24,B$9&lt;14/24)</formula>
    </cfRule>
    <cfRule type="expression" dxfId="4273" priority="139">
      <formula>B$9&lt;8/24</formula>
    </cfRule>
  </conditionalFormatting>
  <conditionalFormatting sqref="B53:M53">
    <cfRule type="expression" dxfId="4272" priority="128">
      <formula>B$9&gt;=20/24</formula>
    </cfRule>
    <cfRule type="expression" dxfId="4271" priority="129">
      <formula>AND(B$9&gt;=14/24,B$9&lt;20/24)</formula>
    </cfRule>
    <cfRule type="expression" dxfId="4270" priority="130">
      <formula>AND(B$9&gt;=8/24,B$9&lt;14/24)</formula>
    </cfRule>
    <cfRule type="expression" dxfId="4269" priority="131">
      <formula>B$9&lt;8/24</formula>
    </cfRule>
  </conditionalFormatting>
  <conditionalFormatting sqref="B53:M57">
    <cfRule type="expression" dxfId="4268" priority="127">
      <formula>B53&gt;$AG53</formula>
    </cfRule>
  </conditionalFormatting>
  <conditionalFormatting sqref="B96 B86 B47 B100:D106 B72:H74 I72:L72 I74:L74 B67:L69">
    <cfRule type="expression" dxfId="4267" priority="123">
      <formula>B$9&gt;=20/24</formula>
    </cfRule>
    <cfRule type="expression" dxfId="4266" priority="124">
      <formula>AND(B$9&gt;=14/24,B$9&lt;20/24)</formula>
    </cfRule>
    <cfRule type="expression" dxfId="4265" priority="125">
      <formula>AND(B$9&gt;=8/24,B$9&lt;14/24)</formula>
    </cfRule>
    <cfRule type="expression" dxfId="4264" priority="126">
      <formula>B$9&lt;8/24</formula>
    </cfRule>
  </conditionalFormatting>
  <conditionalFormatting sqref="B47 B67:L69">
    <cfRule type="expression" dxfId="4263" priority="122">
      <formula>B47&gt;$AG47</formula>
    </cfRule>
  </conditionalFormatting>
  <conditionalFormatting sqref="B97 B88:C88">
    <cfRule type="expression" dxfId="4262" priority="118">
      <formula>B$9&gt;=20/24</formula>
    </cfRule>
    <cfRule type="expression" dxfId="4261" priority="119">
      <formula>AND(B$9&gt;=14/24,B$9&lt;20/24)</formula>
    </cfRule>
    <cfRule type="expression" dxfId="4260" priority="120">
      <formula>AND(B$9&gt;=8/24,B$9&lt;14/24)</formula>
    </cfRule>
    <cfRule type="expression" dxfId="4259" priority="121">
      <formula>B$9&lt;8/24</formula>
    </cfRule>
  </conditionalFormatting>
  <conditionalFormatting sqref="B46:AF46">
    <cfRule type="expression" dxfId="4258" priority="114">
      <formula>B$9&gt;=20/24</formula>
    </cfRule>
    <cfRule type="expression" dxfId="4257" priority="115">
      <formula>AND(B$9&gt;=14/24,B$9&lt;20/24)</formula>
    </cfRule>
    <cfRule type="expression" dxfId="4256" priority="116">
      <formula>AND(B$9&gt;=8/24,B$9&lt;14/24)</formula>
    </cfRule>
    <cfRule type="expression" dxfId="4255" priority="117">
      <formula>B$9&lt;8/24</formula>
    </cfRule>
  </conditionalFormatting>
  <conditionalFormatting sqref="B46:AF46">
    <cfRule type="expression" dxfId="4254" priority="113">
      <formula>B46&gt;$AG46</formula>
    </cfRule>
  </conditionalFormatting>
  <conditionalFormatting sqref="B58:M58">
    <cfRule type="expression" dxfId="4253" priority="109">
      <formula>B$9&gt;=20/24</formula>
    </cfRule>
    <cfRule type="expression" dxfId="4252" priority="110">
      <formula>AND(B$9&gt;=14/24,B$9&lt;20/24)</formula>
    </cfRule>
    <cfRule type="expression" dxfId="4251" priority="111">
      <formula>AND(B$9&gt;=8/24,B$9&lt;14/24)</formula>
    </cfRule>
    <cfRule type="expression" dxfId="4250" priority="112">
      <formula>B$9&lt;8/24</formula>
    </cfRule>
  </conditionalFormatting>
  <conditionalFormatting sqref="B58:M58">
    <cfRule type="expression" dxfId="4249" priority="108">
      <formula>B58&gt;$AG58</formula>
    </cfRule>
  </conditionalFormatting>
  <conditionalFormatting sqref="B91:B95">
    <cfRule type="expression" dxfId="4248" priority="104">
      <formula>B$9&gt;=20/24</formula>
    </cfRule>
    <cfRule type="expression" dxfId="4247" priority="105">
      <formula>AND(B$9&gt;=14/24,B$9&lt;20/24)</formula>
    </cfRule>
    <cfRule type="expression" dxfId="4246" priority="106">
      <formula>AND(B$9&gt;=8/24,B$9&lt;14/24)</formula>
    </cfRule>
    <cfRule type="expression" dxfId="4245" priority="107">
      <formula>B$9&lt;8/24</formula>
    </cfRule>
  </conditionalFormatting>
  <conditionalFormatting sqref="B49:H51 I50:M51">
    <cfRule type="expression" dxfId="4244" priority="99">
      <formula>B49&gt;$AG49</formula>
    </cfRule>
  </conditionalFormatting>
  <conditionalFormatting sqref="B107">
    <cfRule type="expression" dxfId="4243" priority="95">
      <formula>B$9&gt;=20/24</formula>
    </cfRule>
    <cfRule type="expression" dxfId="4242" priority="96">
      <formula>AND(B$9&gt;=14/24,B$9&lt;20/24)</formula>
    </cfRule>
    <cfRule type="expression" dxfId="4241" priority="97">
      <formula>AND(B$9&gt;=8/24,B$9&lt;14/24)</formula>
    </cfRule>
    <cfRule type="expression" dxfId="4240" priority="98">
      <formula>B$9&lt;8/24</formula>
    </cfRule>
  </conditionalFormatting>
  <conditionalFormatting sqref="B110">
    <cfRule type="expression" dxfId="4239" priority="91">
      <formula>B$9&gt;=20/24</formula>
    </cfRule>
    <cfRule type="expression" dxfId="4238" priority="92">
      <formula>AND(B$9&gt;=14/24,B$9&lt;20/24)</formula>
    </cfRule>
    <cfRule type="expression" dxfId="4237" priority="93">
      <formula>AND(B$9&gt;=8/24,B$9&lt;14/24)</formula>
    </cfRule>
    <cfRule type="expression" dxfId="4236" priority="94">
      <formula>B$9&lt;8/24</formula>
    </cfRule>
  </conditionalFormatting>
  <conditionalFormatting sqref="B83:B85 B75:L76">
    <cfRule type="expression" dxfId="4235" priority="87">
      <formula>B$9&gt;=20/24</formula>
    </cfRule>
    <cfRule type="expression" dxfId="4234" priority="88">
      <formula>AND(B$9&gt;=14/24,B$9&lt;20/24)</formula>
    </cfRule>
    <cfRule type="expression" dxfId="4233" priority="89">
      <formula>AND(B$9&gt;=8/24,B$9&lt;14/24)</formula>
    </cfRule>
    <cfRule type="expression" dxfId="4232" priority="90">
      <formula>B$9&lt;8/24</formula>
    </cfRule>
  </conditionalFormatting>
  <conditionalFormatting sqref="B89 B98 B70 B87">
    <cfRule type="expression" dxfId="4231" priority="83">
      <formula>B$9&gt;=20/24</formula>
    </cfRule>
    <cfRule type="expression" dxfId="4230" priority="84">
      <formula>AND(B$9&gt;=14/24,B$9&lt;20/24)</formula>
    </cfRule>
    <cfRule type="expression" dxfId="4229" priority="85">
      <formula>AND(B$9&gt;=8/24,B$9&lt;14/24)</formula>
    </cfRule>
    <cfRule type="expression" dxfId="4228" priority="86">
      <formula>B$9&lt;8/24</formula>
    </cfRule>
  </conditionalFormatting>
  <conditionalFormatting sqref="B65:B66 B70 B48:AF48">
    <cfRule type="expression" dxfId="4227" priority="82">
      <formula>B48&gt;$AG48</formula>
    </cfRule>
  </conditionalFormatting>
  <conditionalFormatting sqref="B82">
    <cfRule type="expression" dxfId="4226" priority="78">
      <formula>B$9&gt;=20/24</formula>
    </cfRule>
    <cfRule type="expression" dxfId="4225" priority="79">
      <formula>AND(B$9&gt;=14/24,B$9&lt;20/24)</formula>
    </cfRule>
    <cfRule type="expression" dxfId="4224" priority="80">
      <formula>AND(B$9&gt;=8/24,B$9&lt;14/24)</formula>
    </cfRule>
    <cfRule type="expression" dxfId="4223" priority="81">
      <formula>B$9&lt;8/24</formula>
    </cfRule>
  </conditionalFormatting>
  <conditionalFormatting sqref="B52">
    <cfRule type="expression" dxfId="4222" priority="74">
      <formula>B$9&gt;=20/24</formula>
    </cfRule>
    <cfRule type="expression" dxfId="4221" priority="75">
      <formula>AND(B$9&gt;=14/24,B$9&lt;20/24)</formula>
    </cfRule>
    <cfRule type="expression" dxfId="4220" priority="76">
      <formula>AND(B$9&gt;=8/24,B$9&lt;14/24)</formula>
    </cfRule>
    <cfRule type="expression" dxfId="4219" priority="77">
      <formula>B$9&lt;8/24</formula>
    </cfRule>
  </conditionalFormatting>
  <conditionalFormatting sqref="B52">
    <cfRule type="expression" dxfId="4218" priority="73">
      <formula>B52&gt;$AG52</formula>
    </cfRule>
  </conditionalFormatting>
  <conditionalFormatting sqref="B59:M64">
    <cfRule type="expression" dxfId="4217" priority="65">
      <formula>B$9&gt;=20/24</formula>
    </cfRule>
    <cfRule type="expression" dxfId="4216" priority="66">
      <formula>AND(B$9&gt;=14/24,B$9&lt;20/24)</formula>
    </cfRule>
    <cfRule type="expression" dxfId="4215" priority="67">
      <formula>AND(B$9&gt;=8/24,B$9&lt;14/24)</formula>
    </cfRule>
    <cfRule type="expression" dxfId="4214" priority="68">
      <formula>B$9&lt;8/24</formula>
    </cfRule>
  </conditionalFormatting>
  <conditionalFormatting sqref="B59:M64">
    <cfRule type="expression" dxfId="4213" priority="64">
      <formula>B59&gt;$AG59</formula>
    </cfRule>
  </conditionalFormatting>
  <conditionalFormatting sqref="B77:L81">
    <cfRule type="expression" dxfId="4212" priority="60">
      <formula>B$9&gt;=20/24</formula>
    </cfRule>
    <cfRule type="expression" dxfId="4211" priority="61">
      <formula>AND(B$9&gt;=14/24,B$9&lt;20/24)</formula>
    </cfRule>
    <cfRule type="expression" dxfId="4210" priority="62">
      <formula>AND(B$9&gt;=8/24,B$9&lt;14/24)</formula>
    </cfRule>
    <cfRule type="expression" dxfId="4209" priority="63">
      <formula>B$9&lt;8/24</formula>
    </cfRule>
  </conditionalFormatting>
  <conditionalFormatting sqref="A11">
    <cfRule type="expression" dxfId="4208" priority="59">
      <formula>$AH11=0</formula>
    </cfRule>
  </conditionalFormatting>
  <conditionalFormatting sqref="N11:AF11">
    <cfRule type="expression" dxfId="4207" priority="55">
      <formula>N$9&gt;=20/24</formula>
    </cfRule>
    <cfRule type="expression" dxfId="4206" priority="56">
      <formula>AND(N$9&gt;=14/24,N$9&lt;20/24)</formula>
    </cfRule>
    <cfRule type="expression" dxfId="4205" priority="57">
      <formula>AND(N$9&gt;=8/24,N$9&lt;14/24)</formula>
    </cfRule>
    <cfRule type="expression" dxfId="4204" priority="58">
      <formula>N$9&lt;8/24</formula>
    </cfRule>
  </conditionalFormatting>
  <conditionalFormatting sqref="N11:AF11">
    <cfRule type="expression" dxfId="4203" priority="54">
      <formula>N11&gt;$AG11</formula>
    </cfRule>
  </conditionalFormatting>
  <conditionalFormatting sqref="B11:M11">
    <cfRule type="expression" dxfId="4202" priority="50">
      <formula>B$9&gt;=20/24</formula>
    </cfRule>
    <cfRule type="expression" dxfId="4201" priority="51">
      <formula>AND(B$9&gt;=14/24,B$9&lt;20/24)</formula>
    </cfRule>
    <cfRule type="expression" dxfId="4200" priority="52">
      <formula>AND(B$9&gt;=8/24,B$9&lt;14/24)</formula>
    </cfRule>
    <cfRule type="expression" dxfId="4199" priority="53">
      <formula>B$9&lt;8/24</formula>
    </cfRule>
  </conditionalFormatting>
  <conditionalFormatting sqref="B11:M11">
    <cfRule type="expression" dxfId="4198" priority="49">
      <formula>B11&gt;$AG11</formula>
    </cfRule>
  </conditionalFormatting>
  <conditionalFormatting sqref="A16">
    <cfRule type="expression" dxfId="4197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B16:AF16">
    <cfRule type="expression" dxfId="4196" priority="38">
      <formula>B$9&gt;=20/24</formula>
    </cfRule>
    <cfRule type="expression" dxfId="4195" priority="39">
      <formula>AND(B$9&gt;=14/24,B$9&lt;20/24)</formula>
    </cfRule>
    <cfRule type="expression" dxfId="4194" priority="40">
      <formula>AND(B$9&gt;=8/24,B$9&lt;14/24)</formula>
    </cfRule>
    <cfRule type="expression" dxfId="4193" priority="41">
      <formula>B$9&lt;8/24</formula>
    </cfRule>
  </conditionalFormatting>
  <conditionalFormatting sqref="B16:AF16">
    <cfRule type="expression" dxfId="4192" priority="37">
      <formula>B16&gt;$AG16</formula>
    </cfRule>
  </conditionalFormatting>
  <conditionalFormatting sqref="A33">
    <cfRule type="expression" dxfId="4191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B33:AF33">
    <cfRule type="expression" dxfId="4190" priority="26">
      <formula>B$9&gt;=20/24</formula>
    </cfRule>
    <cfRule type="expression" dxfId="4189" priority="27">
      <formula>AND(B$9&gt;=14/24,B$9&lt;20/24)</formula>
    </cfRule>
    <cfRule type="expression" dxfId="4188" priority="28">
      <formula>AND(B$9&gt;=8/24,B$9&lt;14/24)</formula>
    </cfRule>
    <cfRule type="expression" dxfId="4187" priority="29">
      <formula>B$9&lt;8/24</formula>
    </cfRule>
  </conditionalFormatting>
  <conditionalFormatting sqref="B33:AF33">
    <cfRule type="expression" dxfId="4186" priority="25">
      <formula>B33&gt;$AG33</formula>
    </cfRule>
  </conditionalFormatting>
  <conditionalFormatting sqref="A44">
    <cfRule type="expression" dxfId="4185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B44:AF44">
    <cfRule type="expression" dxfId="4184" priority="14">
      <formula>B$9&gt;=20/24</formula>
    </cfRule>
    <cfRule type="expression" dxfId="4183" priority="15">
      <formula>AND(B$9&gt;=14/24,B$9&lt;20/24)</formula>
    </cfRule>
    <cfRule type="expression" dxfId="4182" priority="16">
      <formula>AND(B$9&gt;=8/24,B$9&lt;14/24)</formula>
    </cfRule>
    <cfRule type="expression" dxfId="4181" priority="17">
      <formula>B$9&lt;8/24</formula>
    </cfRule>
  </conditionalFormatting>
  <conditionalFormatting sqref="B44:AF44">
    <cfRule type="expression" dxfId="4180" priority="13">
      <formula>B44&gt;$AG44</formula>
    </cfRule>
  </conditionalFormatting>
  <conditionalFormatting sqref="B117">
    <cfRule type="expression" dxfId="4179" priority="1">
      <formula>B$9&gt;=20/24</formula>
    </cfRule>
    <cfRule type="expression" dxfId="4178" priority="2">
      <formula>AND(B$9&gt;=14/24,B$9&lt;20/24)</formula>
    </cfRule>
    <cfRule type="expression" dxfId="4177" priority="3">
      <formula>AND(B$9&gt;=8/24,B$9&lt;14/24)</formula>
    </cfRule>
    <cfRule type="expression" dxfId="4176" priority="4">
      <formula>B$9&lt;8/24</formula>
    </cfRule>
  </conditionalFormatting>
  <conditionalFormatting sqref="D117:AF117">
    <cfRule type="expression" dxfId="4175" priority="9">
      <formula>D$9&gt;=20/24</formula>
    </cfRule>
    <cfRule type="expression" dxfId="4174" priority="10">
      <formula>AND(D$9&gt;=14/24,D$9&lt;20/24)</formula>
    </cfRule>
    <cfRule type="expression" dxfId="4173" priority="11">
      <formula>AND(D$9&gt;=8/24,D$9&lt;14/24)</formula>
    </cfRule>
    <cfRule type="expression" dxfId="4172" priority="12">
      <formula>D$9&lt;8/24</formula>
    </cfRule>
  </conditionalFormatting>
  <conditionalFormatting sqref="C117">
    <cfRule type="expression" dxfId="4171" priority="5">
      <formula>C$9&gt;=20/24</formula>
    </cfRule>
    <cfRule type="expression" dxfId="4170" priority="6">
      <formula>AND(C$9&gt;=14/24,C$9&lt;20/24)</formula>
    </cfRule>
    <cfRule type="expression" dxfId="4169" priority="7">
      <formula>AND(C$9&gt;=8/24,C$9&lt;14/24)</formula>
    </cfRule>
    <cfRule type="expression" dxfId="4168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772C5E7E-A0A6-4321-88CD-010796A1330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0B25DBDB-9B2D-4511-A387-A3C2301AE41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DA5BE719-7629-43C0-B194-E0180B36700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494C8218-17D4-4298-A9C9-C14366641BD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A3B87487-63C3-4AC3-A906-AE17A658138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8D1F3544-F010-45B0-9485-A8AF16D2B45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CB3D2516-5DAF-4AE9-A5F4-93144712F5F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745CA2C8-F0A2-4847-9994-88F619091A7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="90" zoomScaleNormal="90" workbookViewId="0">
      <pane ySplit="10" topLeftCell="A69" activePane="bottomLeft" state="frozen"/>
      <selection activeCell="Z85" sqref="Z85"/>
      <selection pane="bottomLeft" activeCell="O88" sqref="O88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2079/12/17</v>
      </c>
      <c r="C4" s="236"/>
      <c r="D4" s="236"/>
      <c r="E4" s="237" t="str">
        <f ca="1">"2079/"&amp;"12/"&amp;INT(MID(CELL("filename",G6),FIND("]",CELL("filename",G6))+1,200))</f>
        <v>2079/12/17</v>
      </c>
      <c r="F4" s="237"/>
      <c r="G4" s="237"/>
      <c r="H4" s="237" t="str">
        <f ca="1">TEXT(E4,"dddd")</f>
        <v>Sunday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478</v>
      </c>
      <c r="C5" s="33">
        <f t="shared" si="0"/>
        <v>467</v>
      </c>
      <c r="D5" s="33">
        <f t="shared" si="0"/>
        <v>450</v>
      </c>
      <c r="E5" s="33">
        <f t="shared" si="0"/>
        <v>458</v>
      </c>
      <c r="F5" s="33">
        <f t="shared" si="0"/>
        <v>507</v>
      </c>
      <c r="G5" s="33">
        <f t="shared" si="0"/>
        <v>477</v>
      </c>
      <c r="H5" s="33">
        <f t="shared" si="0"/>
        <v>471</v>
      </c>
      <c r="I5" s="33">
        <f t="shared" si="0"/>
        <v>505</v>
      </c>
      <c r="J5" s="33">
        <f t="shared" si="0"/>
        <v>505</v>
      </c>
      <c r="K5" s="33">
        <f t="shared" si="0"/>
        <v>545</v>
      </c>
      <c r="L5" s="33">
        <f t="shared" si="0"/>
        <v>534.4</v>
      </c>
      <c r="M5" s="33">
        <f t="shared" si="0"/>
        <v>555.79999999999995</v>
      </c>
      <c r="N5" s="33">
        <f t="shared" si="0"/>
        <v>563.4</v>
      </c>
      <c r="O5" s="33">
        <f t="shared" si="0"/>
        <v>575.5</v>
      </c>
      <c r="P5" s="33">
        <f t="shared" si="0"/>
        <v>551.70000000000005</v>
      </c>
      <c r="Q5" s="33">
        <f t="shared" si="0"/>
        <v>575.70000000000005</v>
      </c>
      <c r="R5" s="33">
        <f t="shared" si="0"/>
        <v>558.1</v>
      </c>
      <c r="S5" s="33">
        <f t="shared" si="0"/>
        <v>568.9</v>
      </c>
      <c r="T5" s="33">
        <f t="shared" si="0"/>
        <v>547.6</v>
      </c>
      <c r="U5" s="33">
        <f t="shared" si="0"/>
        <v>513.70000000000005</v>
      </c>
      <c r="V5" s="33">
        <f t="shared" si="0"/>
        <v>499.2</v>
      </c>
      <c r="W5" s="33">
        <f t="shared" si="0"/>
        <v>476.59999999999997</v>
      </c>
      <c r="X5" s="33">
        <f t="shared" si="0"/>
        <v>504.7</v>
      </c>
      <c r="Y5" s="33">
        <f t="shared" si="0"/>
        <v>529</v>
      </c>
      <c r="Z5" s="33">
        <f t="shared" si="0"/>
        <v>496.4</v>
      </c>
      <c r="AA5" s="33">
        <f t="shared" si="0"/>
        <v>513.70000000000005</v>
      </c>
      <c r="AB5" s="33">
        <f t="shared" si="0"/>
        <v>514.70000000000005</v>
      </c>
      <c r="AC5" s="33">
        <f t="shared" si="0"/>
        <v>523</v>
      </c>
      <c r="AD5" s="33">
        <f t="shared" si="0"/>
        <v>535.70000000000005</v>
      </c>
      <c r="AE5" s="33">
        <f t="shared" si="0"/>
        <v>536.5</v>
      </c>
      <c r="AF5" s="33">
        <f>B82</f>
        <v>463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1397MW at 9:00hr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Load=1155</v>
      </c>
      <c r="B7" s="38">
        <f t="shared" ref="B7:AF7" si="1">B89</f>
        <v>1309.1399999999999</v>
      </c>
      <c r="C7" s="38">
        <f t="shared" si="1"/>
        <v>1212.8400000000001</v>
      </c>
      <c r="D7" s="38">
        <f t="shared" si="1"/>
        <v>1166.8400000000001</v>
      </c>
      <c r="E7" s="38">
        <f t="shared" si="1"/>
        <v>1154.8400000000001</v>
      </c>
      <c r="F7" s="38">
        <f t="shared" si="1"/>
        <v>1162.8400000000001</v>
      </c>
      <c r="G7" s="38">
        <f t="shared" si="1"/>
        <v>1174.8400000000001</v>
      </c>
      <c r="H7" s="38">
        <f t="shared" si="1"/>
        <v>1169.1399999999999</v>
      </c>
      <c r="I7" s="38">
        <f t="shared" si="1"/>
        <v>1165.1399999999999</v>
      </c>
      <c r="J7" s="38">
        <f t="shared" si="1"/>
        <v>1182.1399999999999</v>
      </c>
      <c r="K7" s="38">
        <f t="shared" si="1"/>
        <v>1279.8400000000001</v>
      </c>
      <c r="L7" s="38">
        <f t="shared" si="1"/>
        <v>1314.8400000000001</v>
      </c>
      <c r="M7" s="38">
        <f t="shared" si="1"/>
        <v>1381.2399999999998</v>
      </c>
      <c r="N7" s="38">
        <f>N89</f>
        <v>1397.04</v>
      </c>
      <c r="O7" s="38">
        <f t="shared" si="1"/>
        <v>1416.54</v>
      </c>
      <c r="P7" s="38">
        <f t="shared" si="1"/>
        <v>1433.1399999999999</v>
      </c>
      <c r="Q7" s="38">
        <f t="shared" si="1"/>
        <v>1434.84</v>
      </c>
      <c r="R7" s="38">
        <f t="shared" si="1"/>
        <v>1383.54</v>
      </c>
      <c r="S7" s="38">
        <f t="shared" si="1"/>
        <v>1411.04</v>
      </c>
      <c r="T7" s="38">
        <f t="shared" si="1"/>
        <v>1406.7399999999998</v>
      </c>
      <c r="U7" s="38">
        <f t="shared" si="1"/>
        <v>1356.1399999999999</v>
      </c>
      <c r="V7" s="38">
        <f t="shared" si="1"/>
        <v>1352.24</v>
      </c>
      <c r="W7" s="38">
        <f t="shared" si="1"/>
        <v>1338.6399999999999</v>
      </c>
      <c r="X7" s="38">
        <f t="shared" si="1"/>
        <v>1381.7399999999998</v>
      </c>
      <c r="Y7" s="38">
        <f t="shared" si="1"/>
        <v>1345.34</v>
      </c>
      <c r="Z7" s="38">
        <f t="shared" si="1"/>
        <v>1445.74</v>
      </c>
      <c r="AA7" s="38">
        <f t="shared" si="1"/>
        <v>1489.1399999999999</v>
      </c>
      <c r="AB7" s="38">
        <f t="shared" si="1"/>
        <v>1457.1399999999999</v>
      </c>
      <c r="AC7" s="38">
        <f t="shared" si="1"/>
        <v>1368.44</v>
      </c>
      <c r="AD7" s="38">
        <f t="shared" si="1"/>
        <v>1341.44</v>
      </c>
      <c r="AE7" s="38">
        <f t="shared" si="1"/>
        <v>1280.0400000000002</v>
      </c>
      <c r="AF7" s="38">
        <f t="shared" si="1"/>
        <v>1234.94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27</v>
      </c>
      <c r="C11" s="50">
        <v>27</v>
      </c>
      <c r="D11" s="50">
        <v>27</v>
      </c>
      <c r="E11" s="50">
        <v>27</v>
      </c>
      <c r="F11" s="50">
        <v>27</v>
      </c>
      <c r="G11" s="50">
        <v>27</v>
      </c>
      <c r="H11" s="50">
        <v>27</v>
      </c>
      <c r="I11" s="50">
        <v>27</v>
      </c>
      <c r="J11" s="50">
        <v>27</v>
      </c>
      <c r="K11" s="50">
        <v>27</v>
      </c>
      <c r="L11" s="50">
        <v>27</v>
      </c>
      <c r="M11" s="50">
        <v>27</v>
      </c>
      <c r="N11" s="50">
        <v>27</v>
      </c>
      <c r="O11" s="50">
        <v>27</v>
      </c>
      <c r="P11" s="50">
        <v>27</v>
      </c>
      <c r="Q11" s="50">
        <v>27</v>
      </c>
      <c r="R11" s="50">
        <v>27</v>
      </c>
      <c r="S11" s="50">
        <v>27</v>
      </c>
      <c r="T11" s="50">
        <v>27</v>
      </c>
      <c r="U11" s="50">
        <v>27</v>
      </c>
      <c r="V11" s="50">
        <v>27</v>
      </c>
      <c r="W11" s="50">
        <v>27</v>
      </c>
      <c r="X11" s="50">
        <v>27</v>
      </c>
      <c r="Y11" s="50">
        <v>27</v>
      </c>
      <c r="Z11" s="50">
        <v>27</v>
      </c>
      <c r="AA11" s="50">
        <v>27</v>
      </c>
      <c r="AB11" s="50">
        <v>27</v>
      </c>
      <c r="AC11" s="50">
        <v>27</v>
      </c>
      <c r="AD11" s="50">
        <v>27</v>
      </c>
      <c r="AE11" s="50">
        <v>27</v>
      </c>
      <c r="AF11" s="50">
        <v>27</v>
      </c>
      <c r="AG11" s="51">
        <v>86</v>
      </c>
      <c r="AH11" s="52">
        <f t="shared" ref="AH11:AH74" si="2">MAX(B11:AF11)</f>
        <v>27</v>
      </c>
      <c r="AI11" s="53">
        <f t="shared" ref="AI11:AI74" si="3">MIN(B11:AF11)</f>
        <v>27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15.8</v>
      </c>
      <c r="C12" s="50">
        <v>15.8</v>
      </c>
      <c r="D12" s="50">
        <v>15.8</v>
      </c>
      <c r="E12" s="50">
        <v>15.8</v>
      </c>
      <c r="F12" s="50">
        <v>15.8</v>
      </c>
      <c r="G12" s="50">
        <v>15.8</v>
      </c>
      <c r="H12" s="50">
        <v>15.8</v>
      </c>
      <c r="I12" s="50">
        <v>15.8</v>
      </c>
      <c r="J12" s="50">
        <v>15.8</v>
      </c>
      <c r="K12" s="50">
        <v>15.8</v>
      </c>
      <c r="L12" s="50">
        <v>15.8</v>
      </c>
      <c r="M12" s="50">
        <v>14.6</v>
      </c>
      <c r="N12" s="50">
        <v>14.6</v>
      </c>
      <c r="O12" s="50">
        <v>14.6</v>
      </c>
      <c r="P12" s="50">
        <v>14.6</v>
      </c>
      <c r="Q12" s="50">
        <v>14.6</v>
      </c>
      <c r="R12" s="50">
        <v>14.6</v>
      </c>
      <c r="S12" s="50">
        <v>14.6</v>
      </c>
      <c r="T12" s="50">
        <v>14.6</v>
      </c>
      <c r="U12" s="50">
        <v>14.6</v>
      </c>
      <c r="V12" s="50">
        <v>14.6</v>
      </c>
      <c r="W12" s="50">
        <v>14.6</v>
      </c>
      <c r="X12" s="50">
        <v>14.6</v>
      </c>
      <c r="Y12" s="50">
        <v>14.6</v>
      </c>
      <c r="Z12" s="50">
        <v>14.6</v>
      </c>
      <c r="AA12" s="50">
        <v>14.6</v>
      </c>
      <c r="AB12" s="50">
        <v>14.2</v>
      </c>
      <c r="AC12" s="50">
        <v>14.2</v>
      </c>
      <c r="AD12" s="50">
        <v>14.2</v>
      </c>
      <c r="AE12" s="50">
        <v>14.2</v>
      </c>
      <c r="AF12" s="50">
        <v>16.2</v>
      </c>
      <c r="AG12" s="51">
        <v>52.4</v>
      </c>
      <c r="AH12" s="52">
        <f t="shared" si="2"/>
        <v>16.2</v>
      </c>
      <c r="AI12" s="53">
        <f t="shared" si="3"/>
        <v>14.2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33.9</v>
      </c>
      <c r="C13" s="50">
        <v>33.9</v>
      </c>
      <c r="D13" s="50">
        <v>33.9</v>
      </c>
      <c r="E13" s="50">
        <v>33.9</v>
      </c>
      <c r="F13" s="50">
        <v>33.9</v>
      </c>
      <c r="G13" s="50">
        <v>33.9</v>
      </c>
      <c r="H13" s="50">
        <v>33.9</v>
      </c>
      <c r="I13" s="50">
        <v>33.9</v>
      </c>
      <c r="J13" s="50">
        <v>33.9</v>
      </c>
      <c r="K13" s="50">
        <v>33.9</v>
      </c>
      <c r="L13" s="50">
        <v>33.9</v>
      </c>
      <c r="M13" s="50">
        <v>34.700000000000003</v>
      </c>
      <c r="N13" s="50">
        <v>34.700000000000003</v>
      </c>
      <c r="O13" s="50">
        <v>34.700000000000003</v>
      </c>
      <c r="P13" s="50">
        <v>34.700000000000003</v>
      </c>
      <c r="Q13" s="50">
        <v>34.700000000000003</v>
      </c>
      <c r="R13" s="50">
        <v>34.700000000000003</v>
      </c>
      <c r="S13" s="50">
        <v>34.700000000000003</v>
      </c>
      <c r="T13" s="50">
        <v>34.700000000000003</v>
      </c>
      <c r="U13" s="50">
        <v>34.700000000000003</v>
      </c>
      <c r="V13" s="50">
        <v>34.700000000000003</v>
      </c>
      <c r="W13" s="50">
        <v>34.700000000000003</v>
      </c>
      <c r="X13" s="50">
        <v>34.700000000000003</v>
      </c>
      <c r="Y13" s="50">
        <v>34.700000000000003</v>
      </c>
      <c r="Z13" s="50">
        <v>34.700000000000003</v>
      </c>
      <c r="AA13" s="50">
        <v>34.700000000000003</v>
      </c>
      <c r="AB13" s="50">
        <v>35</v>
      </c>
      <c r="AC13" s="50">
        <v>35</v>
      </c>
      <c r="AD13" s="50">
        <v>35</v>
      </c>
      <c r="AE13" s="50">
        <v>35</v>
      </c>
      <c r="AF13" s="50">
        <v>35.5</v>
      </c>
      <c r="AG13" s="55">
        <v>50</v>
      </c>
      <c r="AH13" s="52">
        <f t="shared" si="2"/>
        <v>35.5</v>
      </c>
      <c r="AI13" s="53">
        <f t="shared" si="3"/>
        <v>33.9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17.100000000000001</v>
      </c>
      <c r="C14" s="50">
        <v>17.100000000000001</v>
      </c>
      <c r="D14" s="50">
        <v>17.100000000000001</v>
      </c>
      <c r="E14" s="50">
        <v>17.100000000000001</v>
      </c>
      <c r="F14" s="50">
        <v>17.100000000000001</v>
      </c>
      <c r="G14" s="50">
        <v>17.100000000000001</v>
      </c>
      <c r="H14" s="50">
        <v>17.100000000000001</v>
      </c>
      <c r="I14" s="50">
        <v>17.100000000000001</v>
      </c>
      <c r="J14" s="50">
        <v>17.100000000000001</v>
      </c>
      <c r="K14" s="50">
        <v>17.100000000000001</v>
      </c>
      <c r="L14" s="50">
        <v>17.100000000000001</v>
      </c>
      <c r="M14" s="50">
        <v>16.7</v>
      </c>
      <c r="N14" s="50">
        <v>16.7</v>
      </c>
      <c r="O14" s="50">
        <v>16.7</v>
      </c>
      <c r="P14" s="50">
        <v>16.7</v>
      </c>
      <c r="Q14" s="50">
        <v>16.7</v>
      </c>
      <c r="R14" s="50">
        <v>16.7</v>
      </c>
      <c r="S14" s="50">
        <v>16.7</v>
      </c>
      <c r="T14" s="50">
        <v>16.7</v>
      </c>
      <c r="U14" s="50">
        <v>16.7</v>
      </c>
      <c r="V14" s="50">
        <v>16.7</v>
      </c>
      <c r="W14" s="50">
        <v>16.7</v>
      </c>
      <c r="X14" s="50">
        <v>16.7</v>
      </c>
      <c r="Y14" s="50">
        <v>16.7</v>
      </c>
      <c r="Z14" s="50">
        <v>16.7</v>
      </c>
      <c r="AA14" s="50">
        <v>16.7</v>
      </c>
      <c r="AB14" s="50">
        <v>17</v>
      </c>
      <c r="AC14" s="50">
        <v>17</v>
      </c>
      <c r="AD14" s="50">
        <v>17</v>
      </c>
      <c r="AE14" s="50">
        <v>17</v>
      </c>
      <c r="AF14" s="50">
        <v>16.5</v>
      </c>
      <c r="AG14" s="55">
        <v>45</v>
      </c>
      <c r="AH14" s="52">
        <f t="shared" si="2"/>
        <v>17.100000000000001</v>
      </c>
      <c r="AI14" s="53">
        <f t="shared" si="3"/>
        <v>16.5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22</v>
      </c>
      <c r="C15" s="50">
        <v>22</v>
      </c>
      <c r="D15" s="50">
        <v>22</v>
      </c>
      <c r="E15" s="50">
        <v>22</v>
      </c>
      <c r="F15" s="50">
        <v>22</v>
      </c>
      <c r="G15" s="50">
        <v>22</v>
      </c>
      <c r="H15" s="50">
        <v>22</v>
      </c>
      <c r="I15" s="50">
        <v>22</v>
      </c>
      <c r="J15" s="50">
        <v>22</v>
      </c>
      <c r="K15" s="50">
        <v>22</v>
      </c>
      <c r="L15" s="50">
        <v>22</v>
      </c>
      <c r="M15" s="50">
        <v>13</v>
      </c>
      <c r="N15" s="50">
        <v>13</v>
      </c>
      <c r="O15" s="50">
        <v>13</v>
      </c>
      <c r="P15" s="50">
        <v>13</v>
      </c>
      <c r="Q15" s="50">
        <v>13</v>
      </c>
      <c r="R15" s="50">
        <v>13</v>
      </c>
      <c r="S15" s="50">
        <v>13</v>
      </c>
      <c r="T15" s="50">
        <v>13</v>
      </c>
      <c r="U15" s="50">
        <v>13</v>
      </c>
      <c r="V15" s="50">
        <v>13</v>
      </c>
      <c r="W15" s="50">
        <v>13</v>
      </c>
      <c r="X15" s="50">
        <v>13</v>
      </c>
      <c r="Y15" s="50">
        <v>13</v>
      </c>
      <c r="Z15" s="50">
        <v>13</v>
      </c>
      <c r="AA15" s="50">
        <v>13</v>
      </c>
      <c r="AB15" s="50">
        <v>13</v>
      </c>
      <c r="AC15" s="50">
        <v>13</v>
      </c>
      <c r="AD15" s="50">
        <v>13</v>
      </c>
      <c r="AE15" s="50">
        <v>13</v>
      </c>
      <c r="AF15" s="50">
        <v>13</v>
      </c>
      <c r="AG15" s="55">
        <v>42</v>
      </c>
      <c r="AH15" s="52">
        <f t="shared" si="2"/>
        <v>22</v>
      </c>
      <c r="AI15" s="53">
        <f t="shared" si="3"/>
        <v>13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14</v>
      </c>
      <c r="C16" s="50">
        <v>14</v>
      </c>
      <c r="D16" s="50">
        <v>14</v>
      </c>
      <c r="E16" s="50">
        <v>14</v>
      </c>
      <c r="F16" s="50">
        <v>14</v>
      </c>
      <c r="G16" s="50">
        <v>14</v>
      </c>
      <c r="H16" s="50">
        <v>14</v>
      </c>
      <c r="I16" s="50">
        <v>14</v>
      </c>
      <c r="J16" s="50">
        <v>14</v>
      </c>
      <c r="K16" s="50">
        <v>14</v>
      </c>
      <c r="L16" s="50">
        <v>14</v>
      </c>
      <c r="M16" s="50">
        <v>14</v>
      </c>
      <c r="N16" s="50">
        <v>14</v>
      </c>
      <c r="O16" s="50">
        <v>14</v>
      </c>
      <c r="P16" s="50">
        <v>14</v>
      </c>
      <c r="Q16" s="50">
        <v>14</v>
      </c>
      <c r="R16" s="50">
        <v>14</v>
      </c>
      <c r="S16" s="50">
        <v>14</v>
      </c>
      <c r="T16" s="50">
        <v>14</v>
      </c>
      <c r="U16" s="50">
        <v>14</v>
      </c>
      <c r="V16" s="50">
        <v>14</v>
      </c>
      <c r="W16" s="50">
        <v>14</v>
      </c>
      <c r="X16" s="50">
        <v>14</v>
      </c>
      <c r="Y16" s="50">
        <v>14</v>
      </c>
      <c r="Z16" s="50">
        <v>14</v>
      </c>
      <c r="AA16" s="50">
        <v>14</v>
      </c>
      <c r="AB16" s="50">
        <v>14</v>
      </c>
      <c r="AC16" s="50">
        <v>14</v>
      </c>
      <c r="AD16" s="50">
        <v>14</v>
      </c>
      <c r="AE16" s="50">
        <v>14</v>
      </c>
      <c r="AF16" s="50">
        <v>14</v>
      </c>
      <c r="AG16" s="55">
        <v>36</v>
      </c>
      <c r="AH16" s="52">
        <f t="shared" si="2"/>
        <v>14</v>
      </c>
      <c r="AI16" s="53">
        <f t="shared" si="3"/>
        <v>14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10.1</v>
      </c>
      <c r="C18" s="50">
        <v>10.1</v>
      </c>
      <c r="D18" s="50">
        <v>10.1</v>
      </c>
      <c r="E18" s="50">
        <v>10.1</v>
      </c>
      <c r="F18" s="50">
        <v>10.1</v>
      </c>
      <c r="G18" s="50">
        <v>10.1</v>
      </c>
      <c r="H18" s="50">
        <v>10.1</v>
      </c>
      <c r="I18" s="50">
        <v>10.1</v>
      </c>
      <c r="J18" s="50">
        <v>10.1</v>
      </c>
      <c r="K18" s="50">
        <v>10.1</v>
      </c>
      <c r="L18" s="50">
        <v>10.1</v>
      </c>
      <c r="M18" s="50">
        <v>9.1</v>
      </c>
      <c r="N18" s="50">
        <v>9.1</v>
      </c>
      <c r="O18" s="50">
        <v>9.1</v>
      </c>
      <c r="P18" s="50">
        <v>9.1</v>
      </c>
      <c r="Q18" s="50">
        <v>9.1</v>
      </c>
      <c r="R18" s="50">
        <v>9.1</v>
      </c>
      <c r="S18" s="50">
        <v>9.1</v>
      </c>
      <c r="T18" s="50">
        <v>9.1</v>
      </c>
      <c r="U18" s="50">
        <v>9.1</v>
      </c>
      <c r="V18" s="50">
        <v>9.1</v>
      </c>
      <c r="W18" s="50">
        <v>9.1</v>
      </c>
      <c r="X18" s="50">
        <v>9.1</v>
      </c>
      <c r="Y18" s="50">
        <v>9.1</v>
      </c>
      <c r="Z18" s="50">
        <v>9.1</v>
      </c>
      <c r="AA18" s="50">
        <v>9.1</v>
      </c>
      <c r="AB18" s="50">
        <v>10.5</v>
      </c>
      <c r="AC18" s="50">
        <v>10.5</v>
      </c>
      <c r="AD18" s="50">
        <v>10.5</v>
      </c>
      <c r="AE18" s="50">
        <v>10.5</v>
      </c>
      <c r="AF18" s="50">
        <v>10.6</v>
      </c>
      <c r="AG18" s="56">
        <v>30</v>
      </c>
      <c r="AH18" s="52">
        <f t="shared" si="2"/>
        <v>10.6</v>
      </c>
      <c r="AI18" s="53">
        <f t="shared" si="3"/>
        <v>9.1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6.6</v>
      </c>
      <c r="C19" s="50">
        <v>6.6</v>
      </c>
      <c r="D19" s="50">
        <v>6.6</v>
      </c>
      <c r="E19" s="50">
        <v>6.6</v>
      </c>
      <c r="F19" s="50">
        <v>6.6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6.5</v>
      </c>
      <c r="N19" s="50">
        <v>6.5</v>
      </c>
      <c r="O19" s="50">
        <v>6.5</v>
      </c>
      <c r="P19" s="50">
        <v>6.5</v>
      </c>
      <c r="Q19" s="50">
        <v>6.5</v>
      </c>
      <c r="R19" s="50">
        <v>6.5</v>
      </c>
      <c r="S19" s="50">
        <v>6.5</v>
      </c>
      <c r="T19" s="50">
        <v>6.5</v>
      </c>
      <c r="U19" s="50">
        <v>6.5</v>
      </c>
      <c r="V19" s="50">
        <v>6.5</v>
      </c>
      <c r="W19" s="50">
        <v>6.5</v>
      </c>
      <c r="X19" s="50">
        <v>6.5</v>
      </c>
      <c r="Y19" s="50">
        <v>6.5</v>
      </c>
      <c r="Z19" s="50">
        <v>6.5</v>
      </c>
      <c r="AA19" s="50">
        <v>6.5</v>
      </c>
      <c r="AB19" s="50">
        <v>6.5</v>
      </c>
      <c r="AC19" s="50">
        <v>6.5</v>
      </c>
      <c r="AD19" s="50">
        <v>6.5</v>
      </c>
      <c r="AE19" s="50">
        <v>6.5</v>
      </c>
      <c r="AF19" s="50">
        <v>6.5</v>
      </c>
      <c r="AG19" s="55">
        <v>24.2</v>
      </c>
      <c r="AH19" s="52">
        <f t="shared" si="2"/>
        <v>6.6</v>
      </c>
      <c r="AI19" s="53">
        <f t="shared" si="3"/>
        <v>6.5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8</v>
      </c>
      <c r="C20" s="50">
        <v>8</v>
      </c>
      <c r="D20" s="50">
        <v>8</v>
      </c>
      <c r="E20" s="50">
        <v>8</v>
      </c>
      <c r="F20" s="50">
        <v>8</v>
      </c>
      <c r="G20" s="50">
        <v>8</v>
      </c>
      <c r="H20" s="50">
        <v>8</v>
      </c>
      <c r="I20" s="50">
        <v>8</v>
      </c>
      <c r="J20" s="50">
        <v>8</v>
      </c>
      <c r="K20" s="50">
        <v>8</v>
      </c>
      <c r="L20" s="50">
        <v>8</v>
      </c>
      <c r="M20" s="50">
        <v>8</v>
      </c>
      <c r="N20" s="50">
        <v>8</v>
      </c>
      <c r="O20" s="50">
        <v>8</v>
      </c>
      <c r="P20" s="50">
        <v>8</v>
      </c>
      <c r="Q20" s="50">
        <v>8</v>
      </c>
      <c r="R20" s="50">
        <v>8</v>
      </c>
      <c r="S20" s="50">
        <v>8</v>
      </c>
      <c r="T20" s="50">
        <v>8</v>
      </c>
      <c r="U20" s="50">
        <v>8</v>
      </c>
      <c r="V20" s="50">
        <v>8</v>
      </c>
      <c r="W20" s="50">
        <v>8</v>
      </c>
      <c r="X20" s="50">
        <v>8</v>
      </c>
      <c r="Y20" s="50">
        <v>8</v>
      </c>
      <c r="Z20" s="50">
        <v>8</v>
      </c>
      <c r="AA20" s="50">
        <v>8</v>
      </c>
      <c r="AB20" s="50">
        <v>8</v>
      </c>
      <c r="AC20" s="50">
        <v>8</v>
      </c>
      <c r="AD20" s="50">
        <v>8</v>
      </c>
      <c r="AE20" s="50">
        <v>8</v>
      </c>
      <c r="AF20" s="50">
        <v>8</v>
      </c>
      <c r="AG20" s="55">
        <v>28</v>
      </c>
      <c r="AH20" s="52">
        <f t="shared" si="2"/>
        <v>8</v>
      </c>
      <c r="AI20" s="53">
        <f t="shared" si="3"/>
        <v>8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6.5</v>
      </c>
      <c r="C21" s="50">
        <v>6.5</v>
      </c>
      <c r="D21" s="50">
        <v>6.5</v>
      </c>
      <c r="E21" s="50">
        <v>6.5</v>
      </c>
      <c r="F21" s="50">
        <v>6.5</v>
      </c>
      <c r="G21" s="50">
        <v>6.5</v>
      </c>
      <c r="H21" s="50">
        <v>6.5</v>
      </c>
      <c r="I21" s="50">
        <v>6.5</v>
      </c>
      <c r="J21" s="50">
        <v>6.5</v>
      </c>
      <c r="K21" s="50">
        <v>6.5</v>
      </c>
      <c r="L21" s="50">
        <v>6.5</v>
      </c>
      <c r="M21" s="50">
        <v>6.5</v>
      </c>
      <c r="N21" s="50">
        <v>6.5</v>
      </c>
      <c r="O21" s="50">
        <v>6.5</v>
      </c>
      <c r="P21" s="50">
        <v>6.5</v>
      </c>
      <c r="Q21" s="50">
        <v>6.5</v>
      </c>
      <c r="R21" s="50">
        <v>6.5</v>
      </c>
      <c r="S21" s="50">
        <v>6.5</v>
      </c>
      <c r="T21" s="50">
        <v>6.5</v>
      </c>
      <c r="U21" s="50">
        <v>6.5</v>
      </c>
      <c r="V21" s="50">
        <v>6.5</v>
      </c>
      <c r="W21" s="50">
        <v>6.5</v>
      </c>
      <c r="X21" s="50">
        <v>6.5</v>
      </c>
      <c r="Y21" s="50">
        <v>6.5</v>
      </c>
      <c r="Z21" s="50">
        <v>6.5</v>
      </c>
      <c r="AA21" s="50">
        <v>6.5</v>
      </c>
      <c r="AB21" s="50">
        <v>6.5</v>
      </c>
      <c r="AC21" s="50">
        <v>6.5</v>
      </c>
      <c r="AD21" s="50">
        <v>6.5</v>
      </c>
      <c r="AE21" s="50">
        <v>6.5</v>
      </c>
      <c r="AF21" s="50">
        <v>6.5</v>
      </c>
      <c r="AG21" s="56">
        <v>30</v>
      </c>
      <c r="AH21" s="52">
        <f t="shared" si="2"/>
        <v>6.5</v>
      </c>
      <c r="AI21" s="53">
        <f t="shared" si="3"/>
        <v>6.5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10.1</v>
      </c>
      <c r="C22" s="50">
        <v>10.1</v>
      </c>
      <c r="D22" s="50">
        <v>10.1</v>
      </c>
      <c r="E22" s="50">
        <v>10.1</v>
      </c>
      <c r="F22" s="50">
        <v>10.1</v>
      </c>
      <c r="G22" s="50">
        <v>10.1</v>
      </c>
      <c r="H22" s="50">
        <v>10.1</v>
      </c>
      <c r="I22" s="50">
        <v>10.1</v>
      </c>
      <c r="J22" s="50">
        <v>10.1</v>
      </c>
      <c r="K22" s="50">
        <v>10.1</v>
      </c>
      <c r="L22" s="50">
        <v>10.1</v>
      </c>
      <c r="M22" s="50">
        <v>10.1</v>
      </c>
      <c r="N22" s="50">
        <v>10.1</v>
      </c>
      <c r="O22" s="50">
        <v>10.1</v>
      </c>
      <c r="P22" s="50">
        <v>10.1</v>
      </c>
      <c r="Q22" s="50">
        <v>10.1</v>
      </c>
      <c r="R22" s="50">
        <v>10.1</v>
      </c>
      <c r="S22" s="50">
        <v>10.1</v>
      </c>
      <c r="T22" s="50">
        <v>10.1</v>
      </c>
      <c r="U22" s="50">
        <v>10.1</v>
      </c>
      <c r="V22" s="50">
        <v>10.1</v>
      </c>
      <c r="W22" s="50">
        <v>10.1</v>
      </c>
      <c r="X22" s="50">
        <v>10.1</v>
      </c>
      <c r="Y22" s="50">
        <v>10.1</v>
      </c>
      <c r="Z22" s="50">
        <v>10.1</v>
      </c>
      <c r="AA22" s="50">
        <v>10.1</v>
      </c>
      <c r="AB22" s="50">
        <v>10.5</v>
      </c>
      <c r="AC22" s="50">
        <v>10.5</v>
      </c>
      <c r="AD22" s="50">
        <v>10.5</v>
      </c>
      <c r="AE22" s="50">
        <v>10.5</v>
      </c>
      <c r="AF22" s="50">
        <v>10.5</v>
      </c>
      <c r="AG22" s="55">
        <v>25</v>
      </c>
      <c r="AH22" s="52">
        <f t="shared" si="2"/>
        <v>10.5</v>
      </c>
      <c r="AI22" s="53">
        <f t="shared" si="3"/>
        <v>10.1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5">
        <v>25</v>
      </c>
      <c r="AH23" s="52">
        <f t="shared" si="2"/>
        <v>0</v>
      </c>
      <c r="AI23" s="53">
        <f t="shared" si="3"/>
        <v>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6.6</v>
      </c>
      <c r="C26" s="50">
        <v>6.6</v>
      </c>
      <c r="D26" s="50">
        <v>6.6</v>
      </c>
      <c r="E26" s="50">
        <v>6.6</v>
      </c>
      <c r="F26" s="50">
        <v>6.6</v>
      </c>
      <c r="G26" s="50">
        <v>6.6</v>
      </c>
      <c r="H26" s="50">
        <v>6.6</v>
      </c>
      <c r="I26" s="50">
        <v>6.6</v>
      </c>
      <c r="J26" s="50">
        <v>6.6</v>
      </c>
      <c r="K26" s="50">
        <v>6.6</v>
      </c>
      <c r="L26" s="50">
        <v>6.6</v>
      </c>
      <c r="M26" s="50">
        <v>6.6</v>
      </c>
      <c r="N26" s="50">
        <v>6.6</v>
      </c>
      <c r="O26" s="50">
        <v>6.6</v>
      </c>
      <c r="P26" s="50">
        <v>6.6</v>
      </c>
      <c r="Q26" s="50">
        <v>6.6</v>
      </c>
      <c r="R26" s="50">
        <v>6.6</v>
      </c>
      <c r="S26" s="50">
        <v>6.6</v>
      </c>
      <c r="T26" s="50">
        <v>6.6</v>
      </c>
      <c r="U26" s="50">
        <v>6.6</v>
      </c>
      <c r="V26" s="50">
        <v>6.6</v>
      </c>
      <c r="W26" s="50">
        <v>6.6</v>
      </c>
      <c r="X26" s="50">
        <v>6.6</v>
      </c>
      <c r="Y26" s="50">
        <v>6.6</v>
      </c>
      <c r="Z26" s="50">
        <v>6.6</v>
      </c>
      <c r="AA26" s="50">
        <v>6.6</v>
      </c>
      <c r="AB26" s="50">
        <v>4.9000000000000004</v>
      </c>
      <c r="AC26" s="50">
        <v>4.9000000000000004</v>
      </c>
      <c r="AD26" s="50">
        <v>4.9000000000000004</v>
      </c>
      <c r="AE26" s="50">
        <v>4.9000000000000004</v>
      </c>
      <c r="AF26" s="50">
        <v>6.8</v>
      </c>
      <c r="AG26" s="55">
        <v>23.5</v>
      </c>
      <c r="AH26" s="52">
        <f t="shared" si="2"/>
        <v>6.8</v>
      </c>
      <c r="AI26" s="53">
        <f t="shared" si="3"/>
        <v>4.9000000000000004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5">
        <v>22</v>
      </c>
      <c r="AH29" s="52">
        <f t="shared" si="2"/>
        <v>0</v>
      </c>
      <c r="AI29" s="53">
        <f t="shared" si="3"/>
        <v>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18</v>
      </c>
      <c r="C30" s="50">
        <v>18</v>
      </c>
      <c r="D30" s="50">
        <v>18</v>
      </c>
      <c r="E30" s="50">
        <v>18</v>
      </c>
      <c r="F30" s="50">
        <v>18</v>
      </c>
      <c r="G30" s="50">
        <v>18</v>
      </c>
      <c r="H30" s="50">
        <v>18</v>
      </c>
      <c r="I30" s="50">
        <v>18</v>
      </c>
      <c r="J30" s="50">
        <v>18</v>
      </c>
      <c r="K30" s="50">
        <v>18</v>
      </c>
      <c r="L30" s="50">
        <v>18</v>
      </c>
      <c r="M30" s="50">
        <v>16</v>
      </c>
      <c r="N30" s="50">
        <v>16</v>
      </c>
      <c r="O30" s="50">
        <v>16</v>
      </c>
      <c r="P30" s="50">
        <v>16</v>
      </c>
      <c r="Q30" s="50">
        <v>16</v>
      </c>
      <c r="R30" s="50">
        <v>16</v>
      </c>
      <c r="S30" s="50">
        <v>16</v>
      </c>
      <c r="T30" s="50">
        <v>16</v>
      </c>
      <c r="U30" s="50">
        <v>16</v>
      </c>
      <c r="V30" s="50">
        <v>16</v>
      </c>
      <c r="W30" s="50">
        <v>16</v>
      </c>
      <c r="X30" s="50">
        <v>16</v>
      </c>
      <c r="Y30" s="50">
        <v>16</v>
      </c>
      <c r="Z30" s="50">
        <v>16</v>
      </c>
      <c r="AA30" s="50">
        <v>16</v>
      </c>
      <c r="AB30" s="50">
        <v>22</v>
      </c>
      <c r="AC30" s="50">
        <v>22</v>
      </c>
      <c r="AD30" s="50">
        <v>22</v>
      </c>
      <c r="AE30" s="50">
        <v>22</v>
      </c>
      <c r="AF30" s="50">
        <v>22</v>
      </c>
      <c r="AG30" s="55">
        <v>22</v>
      </c>
      <c r="AH30" s="52">
        <f t="shared" si="2"/>
        <v>22</v>
      </c>
      <c r="AI30" s="53">
        <f t="shared" si="3"/>
        <v>16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55">
        <v>20</v>
      </c>
      <c r="AH31" s="52">
        <f t="shared" si="2"/>
        <v>6</v>
      </c>
      <c r="AI31" s="53">
        <f t="shared" si="3"/>
        <v>6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>
        <v>4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5.2</v>
      </c>
      <c r="C38" s="50">
        <v>5.2</v>
      </c>
      <c r="D38" s="50">
        <v>5.2</v>
      </c>
      <c r="E38" s="50">
        <v>5.2</v>
      </c>
      <c r="F38" s="50">
        <v>5.2</v>
      </c>
      <c r="G38" s="50">
        <v>5.2</v>
      </c>
      <c r="H38" s="50">
        <v>5.2</v>
      </c>
      <c r="I38" s="50">
        <v>5.2</v>
      </c>
      <c r="J38" s="50">
        <v>5.2</v>
      </c>
      <c r="K38" s="50">
        <v>5.2</v>
      </c>
      <c r="L38" s="50">
        <v>5.2</v>
      </c>
      <c r="M38" s="50">
        <v>5.2</v>
      </c>
      <c r="N38" s="50">
        <v>5.2</v>
      </c>
      <c r="O38" s="50">
        <v>5.2</v>
      </c>
      <c r="P38" s="50">
        <v>5.2</v>
      </c>
      <c r="Q38" s="50">
        <v>5.2</v>
      </c>
      <c r="R38" s="50">
        <v>5.2</v>
      </c>
      <c r="S38" s="50">
        <v>5.2</v>
      </c>
      <c r="T38" s="50">
        <v>5.2</v>
      </c>
      <c r="U38" s="50">
        <v>5.2</v>
      </c>
      <c r="V38" s="50">
        <v>5.2</v>
      </c>
      <c r="W38" s="50">
        <v>5.2</v>
      </c>
      <c r="X38" s="50">
        <v>5.2</v>
      </c>
      <c r="Y38" s="50">
        <v>5.2</v>
      </c>
      <c r="Z38" s="50">
        <v>5.2</v>
      </c>
      <c r="AA38" s="50">
        <v>5.2</v>
      </c>
      <c r="AB38" s="50">
        <v>5.2</v>
      </c>
      <c r="AC38" s="50">
        <v>5.2</v>
      </c>
      <c r="AD38" s="50">
        <v>5.2</v>
      </c>
      <c r="AE38" s="50">
        <v>5.2</v>
      </c>
      <c r="AF38" s="50">
        <v>5.2</v>
      </c>
      <c r="AG38" s="55">
        <v>12</v>
      </c>
      <c r="AH38" s="52">
        <f t="shared" si="2"/>
        <v>5.2</v>
      </c>
      <c r="AI38" s="53">
        <f t="shared" si="3"/>
        <v>5.2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50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3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120</v>
      </c>
      <c r="C46" s="63">
        <v>120</v>
      </c>
      <c r="D46" s="63">
        <v>120</v>
      </c>
      <c r="E46" s="63">
        <v>120</v>
      </c>
      <c r="F46" s="63">
        <v>120</v>
      </c>
      <c r="G46" s="63">
        <v>120</v>
      </c>
      <c r="H46" s="63">
        <v>120</v>
      </c>
      <c r="I46" s="63">
        <v>120</v>
      </c>
      <c r="J46" s="63">
        <v>120</v>
      </c>
      <c r="K46" s="63">
        <v>120</v>
      </c>
      <c r="L46" s="63">
        <v>120</v>
      </c>
      <c r="M46" s="63">
        <v>120</v>
      </c>
      <c r="N46" s="63">
        <v>120</v>
      </c>
      <c r="O46" s="63">
        <v>120</v>
      </c>
      <c r="P46" s="63">
        <v>120</v>
      </c>
      <c r="Q46" s="63">
        <v>120</v>
      </c>
      <c r="R46" s="63">
        <v>120</v>
      </c>
      <c r="S46" s="63">
        <v>120</v>
      </c>
      <c r="T46" s="63">
        <v>120</v>
      </c>
      <c r="U46" s="63">
        <v>120</v>
      </c>
      <c r="V46" s="63">
        <v>120</v>
      </c>
      <c r="W46" s="63">
        <v>120</v>
      </c>
      <c r="X46" s="63">
        <v>120</v>
      </c>
      <c r="Y46" s="63">
        <v>120</v>
      </c>
      <c r="Z46" s="63">
        <v>120</v>
      </c>
      <c r="AA46" s="63">
        <v>120</v>
      </c>
      <c r="AB46" s="63">
        <v>120</v>
      </c>
      <c r="AC46" s="63">
        <v>120</v>
      </c>
      <c r="AD46" s="63">
        <v>120</v>
      </c>
      <c r="AE46" s="63">
        <v>120</v>
      </c>
      <c r="AF46" s="63">
        <v>120</v>
      </c>
      <c r="AG46" s="61">
        <v>85</v>
      </c>
      <c r="AH46" s="52">
        <f t="shared" si="2"/>
        <v>120</v>
      </c>
      <c r="AI46" s="53">
        <f t="shared" si="3"/>
        <v>120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v>391.09999999999997</v>
      </c>
      <c r="C48" s="67">
        <f t="shared" ref="C48:AD48" si="4">SUM(C11:C46)</f>
        <v>400.2</v>
      </c>
      <c r="D48" s="67">
        <f t="shared" si="4"/>
        <v>400.2</v>
      </c>
      <c r="E48" s="67">
        <f t="shared" si="4"/>
        <v>400.2</v>
      </c>
      <c r="F48" s="67">
        <f t="shared" si="4"/>
        <v>400.2</v>
      </c>
      <c r="G48" s="67">
        <f t="shared" si="4"/>
        <v>400.2</v>
      </c>
      <c r="H48" s="67">
        <f t="shared" si="4"/>
        <v>400.2</v>
      </c>
      <c r="I48" s="67">
        <f t="shared" si="4"/>
        <v>400.2</v>
      </c>
      <c r="J48" s="67">
        <f t="shared" si="4"/>
        <v>400.2</v>
      </c>
      <c r="K48" s="67">
        <f t="shared" ref="K48:L48" si="5">SUM(K11:K46)</f>
        <v>400.2</v>
      </c>
      <c r="L48" s="67">
        <f t="shared" si="5"/>
        <v>400.2</v>
      </c>
      <c r="M48" s="67">
        <f t="shared" si="4"/>
        <v>387.29999999999995</v>
      </c>
      <c r="N48" s="67">
        <f t="shared" si="4"/>
        <v>387.29999999999995</v>
      </c>
      <c r="O48" s="67">
        <f t="shared" si="4"/>
        <v>387.29999999999995</v>
      </c>
      <c r="P48" s="67">
        <f t="shared" si="4"/>
        <v>387.29999999999995</v>
      </c>
      <c r="Q48" s="67">
        <f t="shared" si="4"/>
        <v>387.29999999999995</v>
      </c>
      <c r="R48" s="67">
        <f t="shared" si="4"/>
        <v>387.29999999999995</v>
      </c>
      <c r="S48" s="67">
        <f t="shared" si="4"/>
        <v>387.29999999999995</v>
      </c>
      <c r="T48" s="67">
        <f t="shared" si="4"/>
        <v>387.29999999999995</v>
      </c>
      <c r="U48" s="67">
        <f t="shared" si="4"/>
        <v>387.29999999999995</v>
      </c>
      <c r="V48" s="67">
        <f t="shared" si="4"/>
        <v>387.29999999999995</v>
      </c>
      <c r="W48" s="67">
        <f t="shared" si="4"/>
        <v>387.29999999999995</v>
      </c>
      <c r="X48" s="67">
        <f t="shared" si="4"/>
        <v>387.29999999999995</v>
      </c>
      <c r="Y48" s="67">
        <f t="shared" si="4"/>
        <v>387.29999999999995</v>
      </c>
      <c r="Z48" s="67">
        <f t="shared" si="4"/>
        <v>387.29999999999995</v>
      </c>
      <c r="AA48" s="67">
        <f t="shared" si="4"/>
        <v>387.29999999999995</v>
      </c>
      <c r="AB48" s="67">
        <f t="shared" ref="AB48" si="6">SUM(AB11:AB46)</f>
        <v>393.6</v>
      </c>
      <c r="AC48" s="67">
        <f t="shared" si="4"/>
        <v>393.6</v>
      </c>
      <c r="AD48" s="67">
        <f t="shared" si="4"/>
        <v>393.6</v>
      </c>
      <c r="AE48" s="67">
        <f t="shared" ref="AE48:AF48" si="7">SUM(AE11:AE46)</f>
        <v>393.6</v>
      </c>
      <c r="AF48" s="67">
        <f t="shared" si="7"/>
        <v>397.6</v>
      </c>
      <c r="AG48" s="68">
        <f t="shared" ref="AG48" si="8">SUM(AG12:AG46)</f>
        <v>875.68</v>
      </c>
      <c r="AH48" s="52">
        <f t="shared" si="2"/>
        <v>400.2</v>
      </c>
      <c r="AI48" s="53">
        <f t="shared" si="3"/>
        <v>387.29999999999995</v>
      </c>
      <c r="AK48" s="54"/>
    </row>
    <row r="49" spans="1:41" x14ac:dyDescent="0.25">
      <c r="A49" s="69" t="s">
        <v>57</v>
      </c>
      <c r="B49" s="50">
        <v>100</v>
      </c>
      <c r="C49" s="50">
        <v>90</v>
      </c>
      <c r="D49" s="50">
        <v>80</v>
      </c>
      <c r="E49" s="50">
        <v>70</v>
      </c>
      <c r="F49" s="50">
        <v>70</v>
      </c>
      <c r="G49" s="50">
        <v>20</v>
      </c>
      <c r="H49" s="50">
        <v>20</v>
      </c>
      <c r="I49" s="50">
        <v>20</v>
      </c>
      <c r="J49" s="50">
        <v>20</v>
      </c>
      <c r="K49" s="50">
        <v>20</v>
      </c>
      <c r="L49" s="50">
        <v>20</v>
      </c>
      <c r="M49" s="70">
        <v>30</v>
      </c>
      <c r="N49" s="70">
        <v>45</v>
      </c>
      <c r="O49" s="50">
        <v>50</v>
      </c>
      <c r="P49" s="50">
        <v>76</v>
      </c>
      <c r="Q49" s="50">
        <v>90</v>
      </c>
      <c r="R49" s="50">
        <v>50</v>
      </c>
      <c r="S49" s="50">
        <v>67</v>
      </c>
      <c r="T49" s="50">
        <v>56</v>
      </c>
      <c r="U49" s="50">
        <v>60</v>
      </c>
      <c r="V49" s="50">
        <v>70</v>
      </c>
      <c r="W49" s="50">
        <v>70</v>
      </c>
      <c r="X49" s="50">
        <v>70</v>
      </c>
      <c r="Y49" s="50">
        <v>70</v>
      </c>
      <c r="Z49" s="50">
        <v>70</v>
      </c>
      <c r="AA49" s="50">
        <v>100</v>
      </c>
      <c r="AB49" s="50">
        <v>110</v>
      </c>
      <c r="AC49" s="50">
        <v>100</v>
      </c>
      <c r="AD49" s="50">
        <v>80</v>
      </c>
      <c r="AE49" s="50">
        <v>60</v>
      </c>
      <c r="AF49" s="50">
        <v>30</v>
      </c>
      <c r="AG49" s="56">
        <v>456</v>
      </c>
      <c r="AH49" s="52">
        <f t="shared" si="2"/>
        <v>110</v>
      </c>
      <c r="AI49" s="53">
        <f t="shared" si="3"/>
        <v>20</v>
      </c>
      <c r="AK49" s="54"/>
    </row>
    <row r="50" spans="1:41" x14ac:dyDescent="0.25">
      <c r="A50" s="71" t="s">
        <v>58</v>
      </c>
      <c r="B50" s="72">
        <v>30</v>
      </c>
      <c r="C50" s="72">
        <v>30</v>
      </c>
      <c r="D50" s="72">
        <v>30</v>
      </c>
      <c r="E50" s="72">
        <v>30</v>
      </c>
      <c r="F50" s="72">
        <v>30</v>
      </c>
      <c r="G50" s="72">
        <v>30</v>
      </c>
      <c r="H50" s="72">
        <v>30</v>
      </c>
      <c r="I50" s="72">
        <v>30</v>
      </c>
      <c r="J50" s="72">
        <v>30</v>
      </c>
      <c r="K50" s="72">
        <v>30</v>
      </c>
      <c r="L50" s="72">
        <v>30</v>
      </c>
      <c r="M50" s="72">
        <v>30</v>
      </c>
      <c r="N50" s="72">
        <v>30</v>
      </c>
      <c r="O50" s="72">
        <v>30</v>
      </c>
      <c r="P50" s="72">
        <v>30</v>
      </c>
      <c r="Q50" s="72">
        <v>30</v>
      </c>
      <c r="R50" s="72">
        <v>30</v>
      </c>
      <c r="S50" s="72">
        <v>30</v>
      </c>
      <c r="T50" s="72">
        <v>30</v>
      </c>
      <c r="U50" s="72">
        <v>30</v>
      </c>
      <c r="V50" s="72">
        <v>30</v>
      </c>
      <c r="W50" s="72">
        <v>30</v>
      </c>
      <c r="X50" s="72">
        <v>30</v>
      </c>
      <c r="Y50" s="72">
        <v>30</v>
      </c>
      <c r="Z50" s="72">
        <v>30</v>
      </c>
      <c r="AA50" s="72">
        <v>30</v>
      </c>
      <c r="AB50" s="72">
        <v>30</v>
      </c>
      <c r="AC50" s="72">
        <v>30</v>
      </c>
      <c r="AD50" s="72">
        <v>30</v>
      </c>
      <c r="AE50" s="72">
        <v>30</v>
      </c>
      <c r="AF50" s="72">
        <v>30</v>
      </c>
      <c r="AG50" s="61">
        <v>60</v>
      </c>
      <c r="AH50" s="52">
        <f t="shared" si="2"/>
        <v>30</v>
      </c>
      <c r="AI50" s="53">
        <f t="shared" si="3"/>
        <v>30</v>
      </c>
      <c r="AK50" s="54"/>
    </row>
    <row r="51" spans="1:41" ht="15.75" thickBot="1" x14ac:dyDescent="0.3">
      <c r="A51" s="73" t="s">
        <v>59</v>
      </c>
      <c r="B51" s="74">
        <v>12.3</v>
      </c>
      <c r="C51" s="74">
        <v>12.3</v>
      </c>
      <c r="D51" s="74">
        <v>12.3</v>
      </c>
      <c r="E51" s="74">
        <v>12.3</v>
      </c>
      <c r="F51" s="74">
        <v>12.3</v>
      </c>
      <c r="G51" s="74">
        <v>12.3</v>
      </c>
      <c r="H51" s="74">
        <v>12.3</v>
      </c>
      <c r="I51" s="74">
        <v>12.3</v>
      </c>
      <c r="J51" s="74">
        <v>12.3</v>
      </c>
      <c r="K51" s="74">
        <v>12.3</v>
      </c>
      <c r="L51" s="74">
        <v>12.3</v>
      </c>
      <c r="M51" s="74">
        <v>10.8</v>
      </c>
      <c r="N51" s="74">
        <v>10.8</v>
      </c>
      <c r="O51" s="74">
        <v>10.8</v>
      </c>
      <c r="P51" s="74">
        <v>10.8</v>
      </c>
      <c r="Q51" s="74">
        <v>10.8</v>
      </c>
      <c r="R51" s="74">
        <v>10.8</v>
      </c>
      <c r="S51" s="74">
        <v>10.8</v>
      </c>
      <c r="T51" s="74">
        <v>10.8</v>
      </c>
      <c r="U51" s="74">
        <v>10.8</v>
      </c>
      <c r="V51" s="74">
        <v>10.8</v>
      </c>
      <c r="W51" s="74">
        <v>10.8</v>
      </c>
      <c r="X51" s="74">
        <v>10.8</v>
      </c>
      <c r="Y51" s="74">
        <v>10.8</v>
      </c>
      <c r="Z51" s="74">
        <v>10.8</v>
      </c>
      <c r="AA51" s="74">
        <v>10.8</v>
      </c>
      <c r="AB51" s="74">
        <v>10.9</v>
      </c>
      <c r="AC51" s="74">
        <v>10.9</v>
      </c>
      <c r="AD51" s="74">
        <v>10.8</v>
      </c>
      <c r="AE51" s="74">
        <v>10.8</v>
      </c>
      <c r="AF51" s="74">
        <v>10.7</v>
      </c>
      <c r="AG51" s="75">
        <v>22.1</v>
      </c>
      <c r="AH51" s="52">
        <f t="shared" si="2"/>
        <v>12.3</v>
      </c>
      <c r="AI51" s="53">
        <f t="shared" si="3"/>
        <v>10.7</v>
      </c>
      <c r="AK51" s="54"/>
    </row>
    <row r="52" spans="1:41" ht="15.75" thickBot="1" x14ac:dyDescent="0.3">
      <c r="A52" s="76" t="s">
        <v>60</v>
      </c>
      <c r="B52" s="67">
        <v>162.30000000000001</v>
      </c>
      <c r="C52" s="67">
        <f t="shared" ref="C52:AG52" si="9">SUM(C49:C51)</f>
        <v>132.30000000000001</v>
      </c>
      <c r="D52" s="67">
        <f t="shared" si="9"/>
        <v>122.3</v>
      </c>
      <c r="E52" s="67">
        <f t="shared" si="9"/>
        <v>112.3</v>
      </c>
      <c r="F52" s="67">
        <f t="shared" si="9"/>
        <v>112.3</v>
      </c>
      <c r="G52" s="67">
        <f t="shared" si="9"/>
        <v>62.3</v>
      </c>
      <c r="H52" s="67">
        <f t="shared" si="9"/>
        <v>62.3</v>
      </c>
      <c r="I52" s="67">
        <f t="shared" si="9"/>
        <v>62.3</v>
      </c>
      <c r="J52" s="67">
        <f t="shared" si="9"/>
        <v>62.3</v>
      </c>
      <c r="K52" s="67">
        <f t="shared" ref="K52:L52" si="10">SUM(K49:K51)</f>
        <v>62.3</v>
      </c>
      <c r="L52" s="67">
        <f t="shared" si="10"/>
        <v>62.3</v>
      </c>
      <c r="M52" s="67">
        <f t="shared" si="9"/>
        <v>70.8</v>
      </c>
      <c r="N52" s="67">
        <f t="shared" si="9"/>
        <v>85.8</v>
      </c>
      <c r="O52" s="67">
        <f t="shared" si="9"/>
        <v>90.8</v>
      </c>
      <c r="P52" s="67">
        <f t="shared" si="9"/>
        <v>116.8</v>
      </c>
      <c r="Q52" s="67">
        <f t="shared" si="9"/>
        <v>130.80000000000001</v>
      </c>
      <c r="R52" s="67">
        <f t="shared" si="9"/>
        <v>90.8</v>
      </c>
      <c r="S52" s="67">
        <f t="shared" si="9"/>
        <v>107.8</v>
      </c>
      <c r="T52" s="67">
        <f t="shared" si="9"/>
        <v>96.8</v>
      </c>
      <c r="U52" s="67">
        <f t="shared" si="9"/>
        <v>100.8</v>
      </c>
      <c r="V52" s="67">
        <f t="shared" si="9"/>
        <v>110.8</v>
      </c>
      <c r="W52" s="67">
        <f t="shared" si="9"/>
        <v>110.8</v>
      </c>
      <c r="X52" s="67">
        <f t="shared" si="9"/>
        <v>110.8</v>
      </c>
      <c r="Y52" s="67">
        <f t="shared" si="9"/>
        <v>110.8</v>
      </c>
      <c r="Z52" s="67">
        <f t="shared" si="9"/>
        <v>110.8</v>
      </c>
      <c r="AA52" s="67">
        <f t="shared" si="9"/>
        <v>140.80000000000001</v>
      </c>
      <c r="AB52" s="67">
        <f t="shared" si="9"/>
        <v>150.9</v>
      </c>
      <c r="AC52" s="67">
        <f t="shared" si="9"/>
        <v>140.9</v>
      </c>
      <c r="AD52" s="67">
        <f t="shared" si="9"/>
        <v>120.8</v>
      </c>
      <c r="AE52" s="67">
        <f t="shared" si="9"/>
        <v>100.8</v>
      </c>
      <c r="AF52" s="67">
        <f t="shared" ref="AF52" si="11">SUM(AF49:AF51)</f>
        <v>70.7</v>
      </c>
      <c r="AG52" s="68">
        <f t="shared" si="9"/>
        <v>538.1</v>
      </c>
      <c r="AH52" s="52">
        <f t="shared" si="2"/>
        <v>162.30000000000001</v>
      </c>
      <c r="AI52" s="53">
        <f t="shared" si="3"/>
        <v>62.3</v>
      </c>
      <c r="AK52" s="54"/>
    </row>
    <row r="53" spans="1:41" x14ac:dyDescent="0.25">
      <c r="A53" s="49" t="s">
        <v>61</v>
      </c>
      <c r="B53" s="50">
        <v>110</v>
      </c>
      <c r="C53" s="50">
        <v>90</v>
      </c>
      <c r="D53" s="50">
        <v>65</v>
      </c>
      <c r="E53" s="50">
        <v>65</v>
      </c>
      <c r="F53" s="50">
        <v>65</v>
      </c>
      <c r="G53" s="50">
        <v>65</v>
      </c>
      <c r="H53" s="50">
        <v>65</v>
      </c>
      <c r="I53" s="50">
        <v>65</v>
      </c>
      <c r="J53" s="50">
        <v>48</v>
      </c>
      <c r="K53" s="50">
        <v>24</v>
      </c>
      <c r="L53" s="50">
        <v>25</v>
      </c>
      <c r="M53" s="50">
        <v>25.3</v>
      </c>
      <c r="N53" s="50">
        <v>0</v>
      </c>
      <c r="O53" s="50">
        <v>61</v>
      </c>
      <c r="P53" s="50">
        <v>97.8</v>
      </c>
      <c r="Q53" s="50">
        <v>121.9</v>
      </c>
      <c r="R53" s="50">
        <v>121.8</v>
      </c>
      <c r="S53" s="50">
        <v>121.8</v>
      </c>
      <c r="T53" s="50">
        <v>72.5</v>
      </c>
      <c r="U53" s="50">
        <v>72.5</v>
      </c>
      <c r="V53" s="50">
        <v>81.3</v>
      </c>
      <c r="W53" s="50">
        <v>76.3</v>
      </c>
      <c r="X53" s="50">
        <v>61</v>
      </c>
      <c r="Y53" s="50">
        <v>76.400000000000006</v>
      </c>
      <c r="Z53" s="50">
        <v>91.5</v>
      </c>
      <c r="AA53" s="50">
        <v>108</v>
      </c>
      <c r="AB53" s="50">
        <v>101.4</v>
      </c>
      <c r="AC53" s="50">
        <v>101.4</v>
      </c>
      <c r="AD53" s="50">
        <v>101.9</v>
      </c>
      <c r="AE53" s="50">
        <v>61.6</v>
      </c>
      <c r="AF53" s="50">
        <v>60.9</v>
      </c>
      <c r="AG53" s="56">
        <v>144</v>
      </c>
      <c r="AH53" s="52">
        <f t="shared" si="2"/>
        <v>121.9</v>
      </c>
      <c r="AI53" s="53">
        <f t="shared" si="3"/>
        <v>0</v>
      </c>
      <c r="AK53" s="54"/>
    </row>
    <row r="54" spans="1:41" x14ac:dyDescent="0.25">
      <c r="A54" s="60" t="s">
        <v>62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24.3</v>
      </c>
      <c r="I54" s="72">
        <v>24.3</v>
      </c>
      <c r="J54" s="72">
        <v>24.3</v>
      </c>
      <c r="K54" s="72">
        <v>30</v>
      </c>
      <c r="L54" s="72">
        <v>35</v>
      </c>
      <c r="M54" s="72">
        <v>24.6</v>
      </c>
      <c r="N54" s="72">
        <v>34.4</v>
      </c>
      <c r="O54" s="72">
        <v>50</v>
      </c>
      <c r="P54" s="72">
        <v>61.8</v>
      </c>
      <c r="Q54" s="72">
        <v>52.8</v>
      </c>
      <c r="R54" s="50">
        <v>43.2</v>
      </c>
      <c r="S54" s="50">
        <v>59.5</v>
      </c>
      <c r="T54" s="50">
        <v>58.4</v>
      </c>
      <c r="U54" s="50">
        <v>44.5</v>
      </c>
      <c r="V54" s="50">
        <v>46</v>
      </c>
      <c r="W54" s="50">
        <v>46.6</v>
      </c>
      <c r="X54" s="50">
        <v>48.2</v>
      </c>
      <c r="Y54" s="50">
        <v>44.5</v>
      </c>
      <c r="Z54" s="50">
        <v>44.5</v>
      </c>
      <c r="AA54" s="50">
        <v>44</v>
      </c>
      <c r="AB54" s="72">
        <v>43.6</v>
      </c>
      <c r="AC54" s="72">
        <v>43.6</v>
      </c>
      <c r="AD54" s="72">
        <v>46.7</v>
      </c>
      <c r="AE54" s="72">
        <v>44.3</v>
      </c>
      <c r="AF54" s="72">
        <v>24.7</v>
      </c>
      <c r="AG54" s="61">
        <v>70</v>
      </c>
      <c r="AH54" s="52">
        <f t="shared" si="2"/>
        <v>61.8</v>
      </c>
      <c r="AI54" s="53">
        <f t="shared" si="3"/>
        <v>0</v>
      </c>
      <c r="AK54" s="54"/>
    </row>
    <row r="55" spans="1:41" x14ac:dyDescent="0.25">
      <c r="A55" s="60" t="s">
        <v>63</v>
      </c>
      <c r="B55" s="72">
        <v>32</v>
      </c>
      <c r="C55" s="72">
        <v>33</v>
      </c>
      <c r="D55" s="72">
        <v>33</v>
      </c>
      <c r="E55" s="72">
        <v>33</v>
      </c>
      <c r="F55" s="72">
        <v>33</v>
      </c>
      <c r="G55" s="72">
        <v>46</v>
      </c>
      <c r="H55" s="72">
        <v>46</v>
      </c>
      <c r="I55" s="72">
        <v>46</v>
      </c>
      <c r="J55" s="72">
        <v>46</v>
      </c>
      <c r="K55" s="72">
        <v>32</v>
      </c>
      <c r="L55" s="72">
        <v>23</v>
      </c>
      <c r="M55" s="72">
        <v>21.7</v>
      </c>
      <c r="N55" s="72">
        <v>42.1</v>
      </c>
      <c r="O55" s="72">
        <v>47.6</v>
      </c>
      <c r="P55" s="72">
        <v>61.5</v>
      </c>
      <c r="Q55" s="72">
        <v>63.6</v>
      </c>
      <c r="R55" s="50">
        <v>35.1</v>
      </c>
      <c r="S55" s="50">
        <v>35.1</v>
      </c>
      <c r="T55" s="50">
        <v>32</v>
      </c>
      <c r="U55" s="50">
        <v>32</v>
      </c>
      <c r="V55" s="50">
        <v>32</v>
      </c>
      <c r="W55" s="50">
        <v>33.299999999999997</v>
      </c>
      <c r="X55" s="50">
        <v>33.299999999999997</v>
      </c>
      <c r="Y55" s="50">
        <v>33.299999999999997</v>
      </c>
      <c r="Z55" s="50">
        <v>51</v>
      </c>
      <c r="AA55" s="50">
        <v>58.3</v>
      </c>
      <c r="AB55" s="72">
        <v>51.9</v>
      </c>
      <c r="AC55" s="72">
        <v>51.9</v>
      </c>
      <c r="AD55" s="72">
        <v>45.6</v>
      </c>
      <c r="AE55" s="72">
        <v>33.799999999999997</v>
      </c>
      <c r="AF55" s="72">
        <v>34</v>
      </c>
      <c r="AG55" s="61">
        <v>69</v>
      </c>
      <c r="AH55" s="52">
        <f t="shared" si="2"/>
        <v>63.6</v>
      </c>
      <c r="AI55" s="53">
        <f t="shared" si="3"/>
        <v>21.7</v>
      </c>
      <c r="AK55" s="54"/>
    </row>
    <row r="56" spans="1:41" x14ac:dyDescent="0.25">
      <c r="A56" s="60" t="s">
        <v>64</v>
      </c>
      <c r="B56" s="72">
        <v>39</v>
      </c>
      <c r="C56" s="72">
        <v>39</v>
      </c>
      <c r="D56" s="72">
        <v>39</v>
      </c>
      <c r="E56" s="72">
        <v>39</v>
      </c>
      <c r="F56" s="72">
        <v>39</v>
      </c>
      <c r="G56" s="72">
        <v>39</v>
      </c>
      <c r="H56" s="72">
        <v>39</v>
      </c>
      <c r="I56" s="72">
        <v>41</v>
      </c>
      <c r="J56" s="72">
        <v>41</v>
      </c>
      <c r="K56" s="72">
        <v>41</v>
      </c>
      <c r="L56" s="72">
        <v>39</v>
      </c>
      <c r="M56" s="72">
        <v>37.299999999999997</v>
      </c>
      <c r="N56" s="72">
        <v>37.299999999999997</v>
      </c>
      <c r="O56" s="72">
        <v>37.299999999999997</v>
      </c>
      <c r="P56" s="72">
        <v>37.299999999999997</v>
      </c>
      <c r="Q56" s="72">
        <v>38.299999999999997</v>
      </c>
      <c r="R56" s="72">
        <v>38.299999999999997</v>
      </c>
      <c r="S56" s="72">
        <v>38.299999999999997</v>
      </c>
      <c r="T56" s="72">
        <v>38.299999999999997</v>
      </c>
      <c r="U56" s="72">
        <v>38.299999999999997</v>
      </c>
      <c r="V56" s="72">
        <v>38.299999999999997</v>
      </c>
      <c r="W56" s="50">
        <v>38.5</v>
      </c>
      <c r="X56" s="50">
        <v>38.5</v>
      </c>
      <c r="Y56" s="50">
        <v>38.5</v>
      </c>
      <c r="Z56" s="50">
        <v>38.5</v>
      </c>
      <c r="AA56" s="50">
        <v>38.5</v>
      </c>
      <c r="AB56" s="72">
        <v>38.5</v>
      </c>
      <c r="AC56" s="72">
        <v>38.5</v>
      </c>
      <c r="AD56" s="72">
        <v>38.5</v>
      </c>
      <c r="AE56" s="72">
        <v>38.5</v>
      </c>
      <c r="AF56" s="72">
        <v>38.5</v>
      </c>
      <c r="AG56" s="61">
        <v>60</v>
      </c>
      <c r="AH56" s="52">
        <f t="shared" si="2"/>
        <v>41</v>
      </c>
      <c r="AI56" s="53">
        <f t="shared" si="3"/>
        <v>37.299999999999997</v>
      </c>
      <c r="AK56" s="54"/>
    </row>
    <row r="57" spans="1:41" x14ac:dyDescent="0.25">
      <c r="A57" s="60" t="s">
        <v>65</v>
      </c>
      <c r="B57" s="72">
        <v>0</v>
      </c>
      <c r="C57" s="72">
        <v>0</v>
      </c>
      <c r="D57" s="72">
        <v>0</v>
      </c>
      <c r="E57" s="72">
        <v>15</v>
      </c>
      <c r="F57" s="72">
        <v>15</v>
      </c>
      <c r="G57" s="72">
        <v>15</v>
      </c>
      <c r="H57" s="72">
        <v>15</v>
      </c>
      <c r="I57" s="72">
        <v>15</v>
      </c>
      <c r="J57" s="72">
        <v>15</v>
      </c>
      <c r="K57" s="72">
        <v>15</v>
      </c>
      <c r="L57" s="72">
        <v>15</v>
      </c>
      <c r="M57" s="72">
        <v>10</v>
      </c>
      <c r="N57" s="72">
        <v>10</v>
      </c>
      <c r="O57" s="72">
        <v>14.4</v>
      </c>
      <c r="P57" s="72">
        <v>14.4</v>
      </c>
      <c r="Q57" s="72">
        <v>14.6</v>
      </c>
      <c r="R57" s="72">
        <v>10.199999999999999</v>
      </c>
      <c r="S57" s="72">
        <v>10.199999999999999</v>
      </c>
      <c r="T57" s="72">
        <v>10.199999999999999</v>
      </c>
      <c r="U57" s="72">
        <v>10.199999999999999</v>
      </c>
      <c r="V57" s="72">
        <v>10.199999999999999</v>
      </c>
      <c r="W57" s="50">
        <v>14.8</v>
      </c>
      <c r="X57" s="50">
        <v>14.8</v>
      </c>
      <c r="Y57" s="50">
        <v>10</v>
      </c>
      <c r="Z57" s="50">
        <v>10</v>
      </c>
      <c r="AA57" s="50">
        <v>26</v>
      </c>
      <c r="AB57" s="72">
        <v>20</v>
      </c>
      <c r="AC57" s="72">
        <v>20</v>
      </c>
      <c r="AD57" s="72">
        <v>10.1</v>
      </c>
      <c r="AE57" s="72">
        <v>10.4</v>
      </c>
      <c r="AF57" s="72">
        <v>10.4</v>
      </c>
      <c r="AG57" s="61">
        <v>30</v>
      </c>
      <c r="AH57" s="52">
        <f t="shared" si="2"/>
        <v>26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3.6</v>
      </c>
      <c r="T58" s="72">
        <v>3.9</v>
      </c>
      <c r="U58" s="72">
        <v>2.2000000000000002</v>
      </c>
      <c r="V58" s="72">
        <v>1.8</v>
      </c>
      <c r="W58" s="50">
        <v>1.1000000000000001</v>
      </c>
      <c r="X58" s="50">
        <v>0.5</v>
      </c>
      <c r="Y58" s="50">
        <v>0</v>
      </c>
      <c r="Z58" s="50">
        <v>0</v>
      </c>
      <c r="AA58" s="50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1">
        <v>25</v>
      </c>
      <c r="AH58" s="52">
        <f t="shared" si="2"/>
        <v>3.9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15</v>
      </c>
      <c r="C59" s="72">
        <v>15</v>
      </c>
      <c r="D59" s="72">
        <v>15</v>
      </c>
      <c r="E59" s="72">
        <v>15</v>
      </c>
      <c r="F59" s="72">
        <v>15</v>
      </c>
      <c r="G59" s="72">
        <v>15</v>
      </c>
      <c r="H59" s="72">
        <v>15</v>
      </c>
      <c r="I59" s="72">
        <v>15</v>
      </c>
      <c r="J59" s="72">
        <v>15</v>
      </c>
      <c r="K59" s="72">
        <v>15</v>
      </c>
      <c r="L59" s="72">
        <v>15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15</v>
      </c>
      <c r="S59" s="72">
        <v>15</v>
      </c>
      <c r="T59" s="72">
        <v>15</v>
      </c>
      <c r="U59" s="72">
        <v>15</v>
      </c>
      <c r="V59" s="72">
        <v>15</v>
      </c>
      <c r="W59" s="72">
        <v>15</v>
      </c>
      <c r="X59" s="72">
        <v>15</v>
      </c>
      <c r="Y59" s="72">
        <v>15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15</v>
      </c>
      <c r="AI59" s="53">
        <f t="shared" si="3"/>
        <v>15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9.8000000000000007</v>
      </c>
      <c r="C61" s="72">
        <v>9.8000000000000007</v>
      </c>
      <c r="D61" s="72">
        <v>9.8000000000000007</v>
      </c>
      <c r="E61" s="72">
        <v>9.8000000000000007</v>
      </c>
      <c r="F61" s="72">
        <v>9.8000000000000007</v>
      </c>
      <c r="G61" s="72">
        <v>9.8000000000000007</v>
      </c>
      <c r="H61" s="72">
        <v>9.8000000000000007</v>
      </c>
      <c r="I61" s="72">
        <v>9.8000000000000007</v>
      </c>
      <c r="J61" s="72">
        <v>9.8000000000000007</v>
      </c>
      <c r="K61" s="72">
        <v>9.8000000000000007</v>
      </c>
      <c r="L61" s="72">
        <v>9.8000000000000007</v>
      </c>
      <c r="M61" s="72">
        <v>9.8000000000000007</v>
      </c>
      <c r="N61" s="72">
        <v>9.8000000000000007</v>
      </c>
      <c r="O61" s="72">
        <v>9.8000000000000007</v>
      </c>
      <c r="P61" s="72">
        <v>9.8000000000000007</v>
      </c>
      <c r="Q61" s="72">
        <v>9.8000000000000007</v>
      </c>
      <c r="R61" s="72">
        <v>9.8000000000000007</v>
      </c>
      <c r="S61" s="72">
        <v>9.8000000000000007</v>
      </c>
      <c r="T61" s="72">
        <v>9.8000000000000007</v>
      </c>
      <c r="U61" s="72">
        <v>8.9</v>
      </c>
      <c r="V61" s="72">
        <v>8.9</v>
      </c>
      <c r="W61" s="72">
        <v>8.9</v>
      </c>
      <c r="X61" s="72">
        <v>8.9</v>
      </c>
      <c r="Y61" s="72">
        <v>8.9</v>
      </c>
      <c r="Z61" s="72">
        <v>8.9</v>
      </c>
      <c r="AA61" s="72">
        <v>8.9</v>
      </c>
      <c r="AB61" s="72">
        <v>13.7</v>
      </c>
      <c r="AC61" s="72">
        <v>13.7</v>
      </c>
      <c r="AD61" s="72">
        <v>11.1</v>
      </c>
      <c r="AE61" s="72">
        <v>11.3</v>
      </c>
      <c r="AF61" s="72">
        <v>11.6</v>
      </c>
      <c r="AG61" s="61">
        <v>14.1</v>
      </c>
      <c r="AH61" s="52">
        <f t="shared" si="2"/>
        <v>13.7</v>
      </c>
      <c r="AI61" s="53">
        <f t="shared" si="3"/>
        <v>8.9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7</v>
      </c>
      <c r="C62" s="72">
        <v>7</v>
      </c>
      <c r="D62" s="72">
        <v>7</v>
      </c>
      <c r="E62" s="72">
        <v>7</v>
      </c>
      <c r="F62" s="72">
        <v>7</v>
      </c>
      <c r="G62" s="72">
        <v>7</v>
      </c>
      <c r="H62" s="72">
        <v>7</v>
      </c>
      <c r="I62" s="72">
        <v>7</v>
      </c>
      <c r="J62" s="72">
        <v>7</v>
      </c>
      <c r="K62" s="72">
        <v>7</v>
      </c>
      <c r="L62" s="72">
        <v>7</v>
      </c>
      <c r="M62" s="72">
        <v>7</v>
      </c>
      <c r="N62" s="72">
        <v>7</v>
      </c>
      <c r="O62" s="72">
        <v>7</v>
      </c>
      <c r="P62" s="72">
        <v>7</v>
      </c>
      <c r="Q62" s="72">
        <v>7</v>
      </c>
      <c r="R62" s="72">
        <v>7</v>
      </c>
      <c r="S62" s="72">
        <v>6.3</v>
      </c>
      <c r="T62" s="72">
        <v>6.3</v>
      </c>
      <c r="U62" s="72">
        <v>6.3</v>
      </c>
      <c r="V62" s="72">
        <v>6.3</v>
      </c>
      <c r="W62" s="72">
        <v>6.3</v>
      </c>
      <c r="X62" s="72">
        <v>6.3</v>
      </c>
      <c r="Y62" s="72">
        <v>6.3</v>
      </c>
      <c r="Z62" s="72">
        <v>6.3</v>
      </c>
      <c r="AA62" s="72">
        <v>6.3</v>
      </c>
      <c r="AB62" s="72">
        <v>6</v>
      </c>
      <c r="AC62" s="72">
        <v>6</v>
      </c>
      <c r="AD62" s="72">
        <v>6</v>
      </c>
      <c r="AE62" s="72">
        <v>6</v>
      </c>
      <c r="AF62" s="72">
        <v>6</v>
      </c>
      <c r="AG62" s="61">
        <v>14</v>
      </c>
      <c r="AH62" s="52">
        <f t="shared" si="2"/>
        <v>7</v>
      </c>
      <c r="AI62" s="53">
        <f t="shared" si="3"/>
        <v>6</v>
      </c>
      <c r="AK62" s="54"/>
    </row>
    <row r="63" spans="1:41" x14ac:dyDescent="0.25">
      <c r="A63" s="60" t="s">
        <v>71</v>
      </c>
      <c r="B63" s="72">
        <v>3</v>
      </c>
      <c r="C63" s="72">
        <v>3</v>
      </c>
      <c r="D63" s="72">
        <v>3</v>
      </c>
      <c r="E63" s="72">
        <v>3</v>
      </c>
      <c r="F63" s="72">
        <v>3</v>
      </c>
      <c r="G63" s="72">
        <v>3</v>
      </c>
      <c r="H63" s="72">
        <v>3</v>
      </c>
      <c r="I63" s="72">
        <v>3</v>
      </c>
      <c r="J63" s="72">
        <v>3</v>
      </c>
      <c r="K63" s="72">
        <v>3</v>
      </c>
      <c r="L63" s="72">
        <v>3</v>
      </c>
      <c r="M63" s="72">
        <v>3</v>
      </c>
      <c r="N63" s="72">
        <v>3</v>
      </c>
      <c r="O63" s="72">
        <v>3</v>
      </c>
      <c r="P63" s="72">
        <v>3</v>
      </c>
      <c r="Q63" s="72">
        <v>3</v>
      </c>
      <c r="R63" s="72">
        <v>3</v>
      </c>
      <c r="S63" s="72">
        <v>3</v>
      </c>
      <c r="T63" s="72">
        <v>3</v>
      </c>
      <c r="U63" s="72">
        <v>3</v>
      </c>
      <c r="V63" s="72">
        <v>3</v>
      </c>
      <c r="W63" s="72">
        <v>3</v>
      </c>
      <c r="X63" s="72">
        <v>3</v>
      </c>
      <c r="Y63" s="72">
        <v>3</v>
      </c>
      <c r="Z63" s="72">
        <v>3</v>
      </c>
      <c r="AA63" s="72">
        <v>3</v>
      </c>
      <c r="AB63" s="72">
        <v>3</v>
      </c>
      <c r="AC63" s="72">
        <v>3</v>
      </c>
      <c r="AD63" s="72">
        <v>3</v>
      </c>
      <c r="AE63" s="72">
        <v>3</v>
      </c>
      <c r="AF63" s="72">
        <v>3</v>
      </c>
      <c r="AG63" s="61">
        <v>10.050000000000001</v>
      </c>
      <c r="AH63" s="52">
        <f t="shared" si="2"/>
        <v>3</v>
      </c>
      <c r="AI63" s="53">
        <f t="shared" si="3"/>
        <v>3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v>221.34</v>
      </c>
      <c r="C66" s="67">
        <f t="shared" ref="C66:AG66" si="12">SUM(C53:C65)</f>
        <v>202.34</v>
      </c>
      <c r="D66" s="67">
        <f t="shared" si="12"/>
        <v>177.34</v>
      </c>
      <c r="E66" s="67">
        <f t="shared" si="12"/>
        <v>192.34</v>
      </c>
      <c r="F66" s="67">
        <f t="shared" si="12"/>
        <v>192.34</v>
      </c>
      <c r="G66" s="67">
        <f t="shared" si="12"/>
        <v>205.34</v>
      </c>
      <c r="H66" s="67">
        <f t="shared" si="12"/>
        <v>229.64000000000001</v>
      </c>
      <c r="I66" s="67">
        <f t="shared" si="12"/>
        <v>231.64000000000001</v>
      </c>
      <c r="J66" s="67">
        <f t="shared" si="12"/>
        <v>214.64000000000001</v>
      </c>
      <c r="K66" s="67">
        <f t="shared" ref="K66:L66" si="13">SUM(K53:K65)</f>
        <v>182.34</v>
      </c>
      <c r="L66" s="67">
        <f t="shared" si="13"/>
        <v>177.34</v>
      </c>
      <c r="M66" s="67">
        <f t="shared" si="12"/>
        <v>159.24</v>
      </c>
      <c r="N66" s="67">
        <f t="shared" si="12"/>
        <v>164.14000000000001</v>
      </c>
      <c r="O66" s="67">
        <f t="shared" si="12"/>
        <v>250.64</v>
      </c>
      <c r="P66" s="67">
        <f t="shared" si="12"/>
        <v>313.14</v>
      </c>
      <c r="Q66" s="67">
        <f t="shared" si="12"/>
        <v>331.54</v>
      </c>
      <c r="R66" s="67">
        <f t="shared" si="12"/>
        <v>288.94</v>
      </c>
      <c r="S66" s="67">
        <f t="shared" si="12"/>
        <v>308.14000000000004</v>
      </c>
      <c r="T66" s="67">
        <f t="shared" si="12"/>
        <v>254.94</v>
      </c>
      <c r="U66" s="67">
        <f t="shared" si="12"/>
        <v>238.44</v>
      </c>
      <c r="V66" s="67">
        <f t="shared" si="12"/>
        <v>248.34000000000003</v>
      </c>
      <c r="W66" s="67">
        <f t="shared" si="12"/>
        <v>249.34</v>
      </c>
      <c r="X66" s="67">
        <f t="shared" si="12"/>
        <v>235.04000000000002</v>
      </c>
      <c r="Y66" s="67">
        <f t="shared" si="12"/>
        <v>241.44</v>
      </c>
      <c r="Z66" s="67">
        <f t="shared" si="12"/>
        <v>274.24</v>
      </c>
      <c r="AA66" s="67">
        <f t="shared" si="12"/>
        <v>313.54000000000002</v>
      </c>
      <c r="AB66" s="67">
        <f t="shared" si="12"/>
        <v>298.64</v>
      </c>
      <c r="AC66" s="67">
        <f t="shared" si="12"/>
        <v>298.64</v>
      </c>
      <c r="AD66" s="67">
        <f t="shared" si="12"/>
        <v>283.44000000000005</v>
      </c>
      <c r="AE66" s="67">
        <f t="shared" si="12"/>
        <v>229.44</v>
      </c>
      <c r="AF66" s="67">
        <f t="shared" ref="AF66" si="14">SUM(AF53:AF65)</f>
        <v>209.64</v>
      </c>
      <c r="AG66" s="68">
        <f t="shared" si="12"/>
        <v>489.91</v>
      </c>
      <c r="AH66" s="52">
        <f t="shared" si="2"/>
        <v>331.54</v>
      </c>
      <c r="AI66" s="53">
        <f t="shared" si="3"/>
        <v>159.24</v>
      </c>
      <c r="AK66" s="54"/>
    </row>
    <row r="67" spans="1:40" x14ac:dyDescent="0.25">
      <c r="A67" s="49" t="s">
        <v>75</v>
      </c>
      <c r="B67" s="50">
        <v>40</v>
      </c>
      <c r="C67" s="50">
        <v>40</v>
      </c>
      <c r="D67" s="50">
        <v>40</v>
      </c>
      <c r="E67" s="50">
        <v>40</v>
      </c>
      <c r="F67" s="50">
        <v>40</v>
      </c>
      <c r="G67" s="50">
        <v>60</v>
      </c>
      <c r="H67" s="50">
        <v>60</v>
      </c>
      <c r="I67" s="50">
        <v>60</v>
      </c>
      <c r="J67" s="50">
        <v>60</v>
      </c>
      <c r="K67" s="50">
        <v>60</v>
      </c>
      <c r="L67" s="50">
        <v>60</v>
      </c>
      <c r="M67" s="50">
        <v>60</v>
      </c>
      <c r="N67" s="50">
        <v>40</v>
      </c>
      <c r="O67" s="50">
        <v>14</v>
      </c>
      <c r="P67" s="50">
        <v>30</v>
      </c>
      <c r="Q67" s="50">
        <v>20</v>
      </c>
      <c r="R67" s="50">
        <v>25</v>
      </c>
      <c r="S67" s="50">
        <v>30</v>
      </c>
      <c r="T67" s="50">
        <v>60</v>
      </c>
      <c r="U67" s="50">
        <v>45</v>
      </c>
      <c r="V67" s="50">
        <v>55</v>
      </c>
      <c r="W67" s="50">
        <v>60</v>
      </c>
      <c r="X67" s="50">
        <v>60</v>
      </c>
      <c r="Y67" s="50">
        <v>14</v>
      </c>
      <c r="Z67" s="50">
        <v>34</v>
      </c>
      <c r="AA67" s="50">
        <v>45</v>
      </c>
      <c r="AB67" s="50">
        <v>14</v>
      </c>
      <c r="AC67" s="50">
        <v>14</v>
      </c>
      <c r="AD67" s="50">
        <v>14</v>
      </c>
      <c r="AE67" s="50">
        <v>14</v>
      </c>
      <c r="AF67" s="50">
        <v>14</v>
      </c>
      <c r="AG67" s="56">
        <v>60</v>
      </c>
      <c r="AH67" s="52">
        <f t="shared" si="2"/>
        <v>60</v>
      </c>
      <c r="AI67" s="53">
        <f t="shared" si="3"/>
        <v>14</v>
      </c>
      <c r="AK67" s="54"/>
    </row>
    <row r="68" spans="1:40" x14ac:dyDescent="0.25">
      <c r="A68" s="60" t="s">
        <v>76</v>
      </c>
      <c r="B68" s="72">
        <v>23</v>
      </c>
      <c r="C68" s="72">
        <v>23</v>
      </c>
      <c r="D68" s="72">
        <v>23</v>
      </c>
      <c r="E68" s="72">
        <v>23</v>
      </c>
      <c r="F68" s="72">
        <v>23</v>
      </c>
      <c r="G68" s="72">
        <v>24</v>
      </c>
      <c r="H68" s="72">
        <v>24</v>
      </c>
      <c r="I68" s="72">
        <v>24</v>
      </c>
      <c r="J68" s="72">
        <v>24</v>
      </c>
      <c r="K68" s="72">
        <v>24</v>
      </c>
      <c r="L68" s="72">
        <v>24</v>
      </c>
      <c r="M68" s="72">
        <v>28.9</v>
      </c>
      <c r="N68" s="72">
        <v>23.2</v>
      </c>
      <c r="O68" s="72">
        <v>6.9</v>
      </c>
      <c r="P68" s="72">
        <v>6.9</v>
      </c>
      <c r="Q68" s="50">
        <v>9.9</v>
      </c>
      <c r="R68" s="50">
        <v>11.6</v>
      </c>
      <c r="S68" s="72">
        <v>14.4</v>
      </c>
      <c r="T68" s="72">
        <v>28.4</v>
      </c>
      <c r="U68" s="72">
        <v>27.1</v>
      </c>
      <c r="V68" s="72">
        <v>27.2</v>
      </c>
      <c r="W68" s="72">
        <v>23.4</v>
      </c>
      <c r="X68" s="72">
        <v>23.4</v>
      </c>
      <c r="Y68" s="72">
        <v>5.2</v>
      </c>
      <c r="Z68" s="72">
        <v>22.3</v>
      </c>
      <c r="AA68" s="72">
        <v>19.100000000000001</v>
      </c>
      <c r="AB68" s="72">
        <v>4.5999999999999996</v>
      </c>
      <c r="AC68" s="72">
        <v>4.8</v>
      </c>
      <c r="AD68" s="72">
        <v>4.8</v>
      </c>
      <c r="AE68" s="72">
        <v>4.8</v>
      </c>
      <c r="AF68" s="72">
        <v>4.8</v>
      </c>
      <c r="AG68" s="61">
        <v>32</v>
      </c>
      <c r="AH68" s="52">
        <f t="shared" si="2"/>
        <v>28.9</v>
      </c>
      <c r="AI68" s="53">
        <f t="shared" si="3"/>
        <v>4.5999999999999996</v>
      </c>
      <c r="AK68" s="54"/>
    </row>
    <row r="69" spans="1:40" ht="15.75" thickBot="1" x14ac:dyDescent="0.3">
      <c r="A69" s="78" t="s">
        <v>77</v>
      </c>
      <c r="B69" s="74">
        <v>8.4</v>
      </c>
      <c r="C69" s="74">
        <v>8.4</v>
      </c>
      <c r="D69" s="74">
        <v>8.4</v>
      </c>
      <c r="E69" s="74">
        <v>8.4</v>
      </c>
      <c r="F69" s="74">
        <v>8.4</v>
      </c>
      <c r="G69" s="74">
        <v>8.4</v>
      </c>
      <c r="H69" s="74">
        <v>8.4</v>
      </c>
      <c r="I69" s="74">
        <v>8.4</v>
      </c>
      <c r="J69" s="74">
        <v>8.4</v>
      </c>
      <c r="K69" s="74">
        <v>8.4</v>
      </c>
      <c r="L69" s="74">
        <v>8.4</v>
      </c>
      <c r="M69" s="74">
        <v>10.6</v>
      </c>
      <c r="N69" s="74">
        <v>10.8</v>
      </c>
      <c r="O69" s="74">
        <v>3.5</v>
      </c>
      <c r="P69" s="74">
        <v>3.5</v>
      </c>
      <c r="Q69" s="50">
        <v>3.6</v>
      </c>
      <c r="R69" s="50">
        <v>4.2</v>
      </c>
      <c r="S69" s="74">
        <v>5.3</v>
      </c>
      <c r="T69" s="74">
        <v>10.4</v>
      </c>
      <c r="U69" s="74">
        <v>9.9</v>
      </c>
      <c r="V69" s="74">
        <v>9.9</v>
      </c>
      <c r="W69" s="74">
        <v>8.6</v>
      </c>
      <c r="X69" s="74">
        <v>8.6</v>
      </c>
      <c r="Y69" s="74">
        <v>1.9</v>
      </c>
      <c r="Z69" s="74">
        <v>8.1</v>
      </c>
      <c r="AA69" s="74">
        <v>7</v>
      </c>
      <c r="AB69" s="74">
        <v>1.7</v>
      </c>
      <c r="AC69" s="74">
        <v>1.8</v>
      </c>
      <c r="AD69" s="74">
        <v>1.8</v>
      </c>
      <c r="AE69" s="74">
        <v>1.7</v>
      </c>
      <c r="AF69" s="74">
        <v>1.7</v>
      </c>
      <c r="AG69" s="75">
        <v>14</v>
      </c>
      <c r="AH69" s="52">
        <f t="shared" si="2"/>
        <v>10.8</v>
      </c>
      <c r="AI69" s="53">
        <f t="shared" si="3"/>
        <v>1.7</v>
      </c>
      <c r="AK69" s="54"/>
    </row>
    <row r="70" spans="1:40" ht="15.75" thickBot="1" x14ac:dyDescent="0.3">
      <c r="A70" s="81" t="s">
        <v>78</v>
      </c>
      <c r="B70" s="67">
        <v>71.400000000000006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67">
        <f t="shared" ref="M70:AE70" si="15">M67+M68+M69</f>
        <v>99.5</v>
      </c>
      <c r="N70" s="67">
        <f t="shared" si="15"/>
        <v>74</v>
      </c>
      <c r="O70" s="67">
        <f t="shared" si="15"/>
        <v>24.4</v>
      </c>
      <c r="P70" s="67">
        <f t="shared" si="15"/>
        <v>40.4</v>
      </c>
      <c r="Q70" s="67">
        <f t="shared" si="15"/>
        <v>33.5</v>
      </c>
      <c r="R70" s="67">
        <f t="shared" si="15"/>
        <v>40.800000000000004</v>
      </c>
      <c r="S70" s="67">
        <f t="shared" si="15"/>
        <v>49.699999999999996</v>
      </c>
      <c r="T70" s="67">
        <f t="shared" si="15"/>
        <v>98.800000000000011</v>
      </c>
      <c r="U70" s="67">
        <f t="shared" si="15"/>
        <v>82</v>
      </c>
      <c r="V70" s="67">
        <f t="shared" si="15"/>
        <v>92.100000000000009</v>
      </c>
      <c r="W70" s="67">
        <f t="shared" si="15"/>
        <v>92</v>
      </c>
      <c r="X70" s="67">
        <f t="shared" si="15"/>
        <v>92</v>
      </c>
      <c r="Y70" s="67">
        <f t="shared" si="15"/>
        <v>21.099999999999998</v>
      </c>
      <c r="Z70" s="67">
        <f t="shared" si="15"/>
        <v>64.399999999999991</v>
      </c>
      <c r="AA70" s="67">
        <f t="shared" si="15"/>
        <v>71.099999999999994</v>
      </c>
      <c r="AB70" s="67">
        <f t="shared" si="15"/>
        <v>20.3</v>
      </c>
      <c r="AC70" s="67">
        <f t="shared" si="15"/>
        <v>20.6</v>
      </c>
      <c r="AD70" s="67">
        <f t="shared" si="15"/>
        <v>20.6</v>
      </c>
      <c r="AE70" s="67">
        <f t="shared" si="15"/>
        <v>20.5</v>
      </c>
      <c r="AF70" s="67">
        <f t="shared" ref="AF70" si="16">AF67+AF68+AF69</f>
        <v>20.5</v>
      </c>
      <c r="AG70" s="68">
        <f>SUM(AG67:AG69)</f>
        <v>106</v>
      </c>
      <c r="AH70" s="52">
        <f t="shared" si="2"/>
        <v>99.5</v>
      </c>
      <c r="AI70" s="53">
        <f t="shared" si="3"/>
        <v>0</v>
      </c>
      <c r="AK70" s="54"/>
    </row>
    <row r="71" spans="1:40" x14ac:dyDescent="0.25">
      <c r="A71" s="49" t="s">
        <v>79</v>
      </c>
      <c r="B71" s="50">
        <v>65</v>
      </c>
      <c r="C71" s="50">
        <v>68</v>
      </c>
      <c r="D71" s="50">
        <v>63</v>
      </c>
      <c r="E71" s="50">
        <v>57</v>
      </c>
      <c r="F71" s="50">
        <v>52</v>
      </c>
      <c r="G71" s="50">
        <v>51</v>
      </c>
      <c r="H71" s="50">
        <v>51</v>
      </c>
      <c r="I71" s="50">
        <v>45</v>
      </c>
      <c r="J71" s="50">
        <v>49</v>
      </c>
      <c r="K71" s="50">
        <v>49</v>
      </c>
      <c r="L71" s="50">
        <v>49</v>
      </c>
      <c r="M71" s="50">
        <v>64</v>
      </c>
      <c r="N71" s="50">
        <v>62.2</v>
      </c>
      <c r="O71" s="50">
        <v>62.9</v>
      </c>
      <c r="P71" s="50">
        <v>61.8</v>
      </c>
      <c r="Q71" s="50">
        <v>61.9</v>
      </c>
      <c r="R71" s="50">
        <v>68</v>
      </c>
      <c r="S71" s="50">
        <v>61.9</v>
      </c>
      <c r="T71" s="50">
        <v>64.3</v>
      </c>
      <c r="U71" s="50">
        <v>55.6</v>
      </c>
      <c r="V71" s="50">
        <v>55.6</v>
      </c>
      <c r="W71" s="50">
        <v>55.2</v>
      </c>
      <c r="X71" s="50">
        <v>55.2</v>
      </c>
      <c r="Y71" s="50">
        <v>55.2</v>
      </c>
      <c r="Z71" s="50">
        <v>52</v>
      </c>
      <c r="AA71" s="50">
        <v>52</v>
      </c>
      <c r="AB71" s="50">
        <v>62</v>
      </c>
      <c r="AC71" s="50">
        <v>63</v>
      </c>
      <c r="AD71" s="50">
        <v>65</v>
      </c>
      <c r="AE71" s="50">
        <v>71</v>
      </c>
      <c r="AF71" s="50">
        <v>68</v>
      </c>
      <c r="AG71" s="56"/>
      <c r="AH71" s="52">
        <f t="shared" si="2"/>
        <v>71</v>
      </c>
      <c r="AI71" s="53">
        <f t="shared" si="3"/>
        <v>45</v>
      </c>
      <c r="AK71" s="54"/>
    </row>
    <row r="72" spans="1:40" x14ac:dyDescent="0.25">
      <c r="A72" s="60" t="s">
        <v>80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350</v>
      </c>
      <c r="C73" s="72">
        <v>352</v>
      </c>
      <c r="D73" s="72">
        <v>348</v>
      </c>
      <c r="E73" s="72">
        <v>337</v>
      </c>
      <c r="F73" s="72">
        <v>350</v>
      </c>
      <c r="G73" s="72">
        <v>400</v>
      </c>
      <c r="H73" s="72">
        <v>370</v>
      </c>
      <c r="I73" s="72">
        <v>370</v>
      </c>
      <c r="J73" s="72">
        <v>400</v>
      </c>
      <c r="K73" s="72">
        <v>400</v>
      </c>
      <c r="L73" s="72">
        <v>440</v>
      </c>
      <c r="M73" s="72">
        <v>413.5</v>
      </c>
      <c r="N73" s="72">
        <v>416.4</v>
      </c>
      <c r="O73" s="72">
        <v>416.7</v>
      </c>
      <c r="P73" s="72">
        <v>420</v>
      </c>
      <c r="Q73" s="72">
        <v>392.3</v>
      </c>
      <c r="R73" s="72">
        <v>419.9</v>
      </c>
      <c r="S73" s="72">
        <v>400</v>
      </c>
      <c r="T73" s="72">
        <v>410</v>
      </c>
      <c r="U73" s="72">
        <v>400</v>
      </c>
      <c r="V73" s="72">
        <v>375</v>
      </c>
      <c r="W73" s="72">
        <v>365</v>
      </c>
      <c r="X73" s="72">
        <v>342</v>
      </c>
      <c r="Y73" s="72">
        <v>371</v>
      </c>
      <c r="Z73" s="72">
        <v>400</v>
      </c>
      <c r="AA73" s="72">
        <v>362</v>
      </c>
      <c r="AB73" s="72">
        <v>375</v>
      </c>
      <c r="AC73" s="72">
        <v>375</v>
      </c>
      <c r="AD73" s="72">
        <v>378</v>
      </c>
      <c r="AE73" s="72">
        <v>384</v>
      </c>
      <c r="AF73" s="72">
        <v>381.7</v>
      </c>
      <c r="AG73" s="82"/>
      <c r="AH73" s="52">
        <f t="shared" si="2"/>
        <v>440</v>
      </c>
      <c r="AI73" s="53">
        <f t="shared" si="3"/>
        <v>337</v>
      </c>
      <c r="AK73" s="54"/>
    </row>
    <row r="74" spans="1:40" x14ac:dyDescent="0.25">
      <c r="A74" s="60" t="s">
        <v>82</v>
      </c>
      <c r="B74" s="72">
        <v>24</v>
      </c>
      <c r="C74" s="72">
        <v>24</v>
      </c>
      <c r="D74" s="72">
        <v>24</v>
      </c>
      <c r="E74" s="72">
        <v>24</v>
      </c>
      <c r="F74" s="72">
        <v>24</v>
      </c>
      <c r="G74" s="72">
        <v>24</v>
      </c>
      <c r="H74" s="72">
        <v>24</v>
      </c>
      <c r="I74" s="72">
        <v>24</v>
      </c>
      <c r="J74" s="72">
        <v>24</v>
      </c>
      <c r="K74" s="72">
        <v>24</v>
      </c>
      <c r="L74" s="72">
        <v>24</v>
      </c>
      <c r="M74" s="83">
        <v>18.5</v>
      </c>
      <c r="N74" s="83">
        <v>48.2</v>
      </c>
      <c r="O74" s="83">
        <v>53.4</v>
      </c>
      <c r="P74" s="83">
        <v>54.7</v>
      </c>
      <c r="Q74" s="83">
        <v>59</v>
      </c>
      <c r="R74" s="83">
        <v>55.2</v>
      </c>
      <c r="S74" s="83">
        <v>60</v>
      </c>
      <c r="T74" s="83">
        <v>55.6</v>
      </c>
      <c r="U74" s="83">
        <v>53</v>
      </c>
      <c r="V74" s="83">
        <v>48</v>
      </c>
      <c r="W74" s="83">
        <v>45</v>
      </c>
      <c r="X74" s="83">
        <v>47</v>
      </c>
      <c r="Y74" s="83">
        <v>47</v>
      </c>
      <c r="Z74" s="83">
        <v>47</v>
      </c>
      <c r="AA74" s="83">
        <v>52.7</v>
      </c>
      <c r="AB74" s="72">
        <v>50.2</v>
      </c>
      <c r="AC74" s="72">
        <v>50.2</v>
      </c>
      <c r="AD74" s="72">
        <v>52.5</v>
      </c>
      <c r="AE74" s="72">
        <v>52</v>
      </c>
      <c r="AF74" s="72">
        <v>55.5</v>
      </c>
      <c r="AG74" s="82"/>
      <c r="AH74" s="52">
        <f t="shared" si="2"/>
        <v>60</v>
      </c>
      <c r="AI74" s="53">
        <f t="shared" si="3"/>
        <v>18.5</v>
      </c>
      <c r="AK74" s="54"/>
    </row>
    <row r="75" spans="1:40" x14ac:dyDescent="0.25">
      <c r="A75" s="60" t="s">
        <v>83</v>
      </c>
      <c r="B75" s="50">
        <v>24</v>
      </c>
      <c r="C75" s="50">
        <v>24</v>
      </c>
      <c r="D75" s="50">
        <v>22</v>
      </c>
      <c r="E75" s="50">
        <v>22</v>
      </c>
      <c r="F75" s="50">
        <v>22</v>
      </c>
      <c r="G75" s="50">
        <v>22</v>
      </c>
      <c r="H75" s="50">
        <v>22</v>
      </c>
      <c r="I75" s="50">
        <v>22</v>
      </c>
      <c r="J75" s="50">
        <v>22</v>
      </c>
      <c r="K75" s="50">
        <v>22</v>
      </c>
      <c r="L75" s="50">
        <v>22</v>
      </c>
      <c r="M75" s="50">
        <v>28.4</v>
      </c>
      <c r="N75" s="50">
        <v>19</v>
      </c>
      <c r="O75" s="50">
        <v>20.399999999999999</v>
      </c>
      <c r="P75" s="50">
        <v>29</v>
      </c>
      <c r="Q75" s="50">
        <v>31.5</v>
      </c>
      <c r="R75" s="50">
        <v>25.6</v>
      </c>
      <c r="S75" s="50">
        <v>29.2</v>
      </c>
      <c r="T75" s="50">
        <v>32</v>
      </c>
      <c r="U75" s="50">
        <v>32</v>
      </c>
      <c r="V75" s="50">
        <v>28.1</v>
      </c>
      <c r="W75" s="50">
        <v>27</v>
      </c>
      <c r="X75" s="50">
        <v>25.4</v>
      </c>
      <c r="Y75" s="50">
        <v>24.5</v>
      </c>
      <c r="Z75" s="50">
        <v>23</v>
      </c>
      <c r="AA75" s="50">
        <v>22.7</v>
      </c>
      <c r="AB75" s="50">
        <v>19.5</v>
      </c>
      <c r="AC75" s="50">
        <v>19.5</v>
      </c>
      <c r="AD75" s="50">
        <v>20.5</v>
      </c>
      <c r="AE75" s="50">
        <v>21.7</v>
      </c>
      <c r="AF75" s="50">
        <v>24.3</v>
      </c>
      <c r="AG75" s="82"/>
      <c r="AH75" s="52">
        <f t="shared" ref="AH75:AH117" si="17">MAX(B75:AF75)</f>
        <v>32</v>
      </c>
      <c r="AI75" s="53">
        <f t="shared" ref="AI75:AI117" si="18">MIN(B75:AF75)</f>
        <v>19</v>
      </c>
      <c r="AK75" s="54"/>
    </row>
    <row r="76" spans="1:40" x14ac:dyDescent="0.25">
      <c r="A76" s="60" t="s">
        <v>84</v>
      </c>
      <c r="B76" s="84">
        <v>7</v>
      </c>
      <c r="C76" s="84">
        <v>7</v>
      </c>
      <c r="D76" s="84">
        <v>7</v>
      </c>
      <c r="E76" s="84">
        <v>7</v>
      </c>
      <c r="F76" s="84">
        <v>7</v>
      </c>
      <c r="G76" s="84">
        <v>7</v>
      </c>
      <c r="H76" s="84">
        <v>7</v>
      </c>
      <c r="I76" s="84">
        <v>7</v>
      </c>
      <c r="J76" s="84">
        <v>7</v>
      </c>
      <c r="K76" s="84">
        <v>7</v>
      </c>
      <c r="L76" s="84">
        <v>7</v>
      </c>
      <c r="M76" s="84">
        <v>7</v>
      </c>
      <c r="N76" s="84">
        <v>7</v>
      </c>
      <c r="O76" s="84">
        <v>7</v>
      </c>
      <c r="P76" s="84">
        <v>7</v>
      </c>
      <c r="Q76" s="84">
        <v>7</v>
      </c>
      <c r="R76" s="84">
        <v>7</v>
      </c>
      <c r="S76" s="84">
        <v>7</v>
      </c>
      <c r="T76" s="84">
        <v>7</v>
      </c>
      <c r="U76" s="84">
        <v>7</v>
      </c>
      <c r="V76" s="84">
        <v>7</v>
      </c>
      <c r="W76" s="84">
        <v>7</v>
      </c>
      <c r="X76" s="84">
        <v>7</v>
      </c>
      <c r="Y76" s="84">
        <v>7</v>
      </c>
      <c r="Z76" s="84">
        <v>7</v>
      </c>
      <c r="AA76" s="84">
        <v>7</v>
      </c>
      <c r="AB76" s="84">
        <v>7</v>
      </c>
      <c r="AC76" s="84">
        <v>7</v>
      </c>
      <c r="AD76" s="84">
        <v>7</v>
      </c>
      <c r="AE76" s="84">
        <v>7</v>
      </c>
      <c r="AF76" s="84">
        <v>7</v>
      </c>
      <c r="AG76" s="82"/>
      <c r="AH76" s="52">
        <f t="shared" si="17"/>
        <v>7</v>
      </c>
      <c r="AI76" s="53">
        <f t="shared" si="18"/>
        <v>7</v>
      </c>
      <c r="AK76" s="54"/>
    </row>
    <row r="77" spans="1:40" ht="15.75" thickBot="1" x14ac:dyDescent="0.3">
      <c r="A77" s="60" t="s">
        <v>85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7"/>
        <v>0</v>
      </c>
      <c r="AI77" s="53">
        <f t="shared" si="18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7"/>
        <v>0</v>
      </c>
      <c r="AI78" s="53">
        <f t="shared" si="18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>
        <v>3</v>
      </c>
      <c r="C79" s="84">
        <v>3</v>
      </c>
      <c r="D79" s="84">
        <v>3</v>
      </c>
      <c r="E79" s="84">
        <v>3</v>
      </c>
      <c r="F79" s="84">
        <v>3</v>
      </c>
      <c r="G79" s="84">
        <v>3</v>
      </c>
      <c r="H79" s="84">
        <v>3</v>
      </c>
      <c r="I79" s="84">
        <v>3</v>
      </c>
      <c r="J79" s="84">
        <v>3</v>
      </c>
      <c r="K79" s="84">
        <v>3</v>
      </c>
      <c r="L79" s="84">
        <v>3</v>
      </c>
      <c r="M79" s="84">
        <v>3</v>
      </c>
      <c r="N79" s="84">
        <v>3</v>
      </c>
      <c r="O79" s="84">
        <v>3</v>
      </c>
      <c r="P79" s="84">
        <v>3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7"/>
        <v>3</v>
      </c>
      <c r="AI79" s="53">
        <f t="shared" si="18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7"/>
        <v>0</v>
      </c>
      <c r="AI80" s="53">
        <f t="shared" si="18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7"/>
        <v>0</v>
      </c>
      <c r="AI81" s="53">
        <f t="shared" si="18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v>463</v>
      </c>
      <c r="C82" s="67">
        <f t="shared" ref="C82:AE82" si="19">SUMIF(C71:C81,"&gt;0")</f>
        <v>478</v>
      </c>
      <c r="D82" s="67">
        <f t="shared" si="19"/>
        <v>467</v>
      </c>
      <c r="E82" s="67">
        <f t="shared" si="19"/>
        <v>450</v>
      </c>
      <c r="F82" s="67">
        <f t="shared" si="19"/>
        <v>458</v>
      </c>
      <c r="G82" s="67">
        <f t="shared" si="19"/>
        <v>507</v>
      </c>
      <c r="H82" s="67">
        <f t="shared" si="19"/>
        <v>477</v>
      </c>
      <c r="I82" s="67">
        <f t="shared" si="19"/>
        <v>471</v>
      </c>
      <c r="J82" s="67">
        <f t="shared" si="19"/>
        <v>505</v>
      </c>
      <c r="K82" s="67">
        <f t="shared" ref="K82:L82" si="20">SUMIF(K71:K81,"&gt;0")</f>
        <v>505</v>
      </c>
      <c r="L82" s="67">
        <f t="shared" si="20"/>
        <v>545</v>
      </c>
      <c r="M82" s="67">
        <f t="shared" si="19"/>
        <v>534.4</v>
      </c>
      <c r="N82" s="67">
        <f t="shared" si="19"/>
        <v>555.79999999999995</v>
      </c>
      <c r="O82" s="67">
        <f t="shared" si="19"/>
        <v>563.4</v>
      </c>
      <c r="P82" s="67">
        <f t="shared" si="19"/>
        <v>575.5</v>
      </c>
      <c r="Q82" s="67">
        <f t="shared" si="19"/>
        <v>551.70000000000005</v>
      </c>
      <c r="R82" s="67">
        <f t="shared" si="19"/>
        <v>575.70000000000005</v>
      </c>
      <c r="S82" s="67">
        <f t="shared" si="19"/>
        <v>558.1</v>
      </c>
      <c r="T82" s="67">
        <f t="shared" si="19"/>
        <v>568.9</v>
      </c>
      <c r="U82" s="67">
        <f t="shared" si="19"/>
        <v>547.6</v>
      </c>
      <c r="V82" s="67">
        <f t="shared" si="19"/>
        <v>513.70000000000005</v>
      </c>
      <c r="W82" s="67">
        <f t="shared" si="19"/>
        <v>499.2</v>
      </c>
      <c r="X82" s="67">
        <f t="shared" si="19"/>
        <v>476.59999999999997</v>
      </c>
      <c r="Y82" s="67">
        <f t="shared" si="19"/>
        <v>504.7</v>
      </c>
      <c r="Z82" s="67">
        <f t="shared" si="19"/>
        <v>529</v>
      </c>
      <c r="AA82" s="67">
        <f t="shared" si="19"/>
        <v>496.4</v>
      </c>
      <c r="AB82" s="67">
        <f t="shared" si="19"/>
        <v>513.70000000000005</v>
      </c>
      <c r="AC82" s="67">
        <f t="shared" si="19"/>
        <v>514.70000000000005</v>
      </c>
      <c r="AD82" s="67">
        <f t="shared" si="19"/>
        <v>523</v>
      </c>
      <c r="AE82" s="67">
        <f t="shared" si="19"/>
        <v>535.70000000000005</v>
      </c>
      <c r="AF82" s="67">
        <f t="shared" ref="AF82" si="21">SUMIF(AF71:AF81,"&gt;0")</f>
        <v>536.5</v>
      </c>
      <c r="AG82" s="95">
        <f>SUM(AG71:AG81)</f>
        <v>0</v>
      </c>
      <c r="AH82" s="52">
        <f t="shared" si="17"/>
        <v>575.70000000000005</v>
      </c>
      <c r="AI82" s="53">
        <f t="shared" si="18"/>
        <v>450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7"/>
        <v>0</v>
      </c>
      <c r="AI83" s="53">
        <f t="shared" si="18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7"/>
        <v>0</v>
      </c>
      <c r="AI84" s="53">
        <f t="shared" si="18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7"/>
        <v>0</v>
      </c>
      <c r="AI85" s="53">
        <f t="shared" si="18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7"/>
        <v>0</v>
      </c>
      <c r="AI86" s="53">
        <f t="shared" si="18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v>1309.1399999999999</v>
      </c>
      <c r="C87" s="102">
        <f t="shared" ref="C87:AG87" si="22">C48+C52+C70+C66+C82+C86</f>
        <v>1212.8400000000001</v>
      </c>
      <c r="D87" s="102">
        <f t="shared" si="22"/>
        <v>1166.8400000000001</v>
      </c>
      <c r="E87" s="102">
        <f t="shared" si="22"/>
        <v>1154.8400000000001</v>
      </c>
      <c r="F87" s="102">
        <f t="shared" si="22"/>
        <v>1162.8400000000001</v>
      </c>
      <c r="G87" s="102">
        <f t="shared" si="22"/>
        <v>1174.8400000000001</v>
      </c>
      <c r="H87" s="102">
        <f t="shared" si="22"/>
        <v>1169.1399999999999</v>
      </c>
      <c r="I87" s="102">
        <f t="shared" si="22"/>
        <v>1165.1399999999999</v>
      </c>
      <c r="J87" s="102">
        <f t="shared" si="22"/>
        <v>1182.1399999999999</v>
      </c>
      <c r="K87" s="102">
        <f t="shared" ref="K87:L87" si="23">K48+K52+K70+K66+K82+K86</f>
        <v>1149.8400000000001</v>
      </c>
      <c r="L87" s="102">
        <f t="shared" si="23"/>
        <v>1184.8400000000001</v>
      </c>
      <c r="M87" s="102">
        <f t="shared" si="22"/>
        <v>1251.2399999999998</v>
      </c>
      <c r="N87" s="102">
        <f t="shared" si="22"/>
        <v>1267.04</v>
      </c>
      <c r="O87" s="102">
        <f t="shared" si="22"/>
        <v>1316.54</v>
      </c>
      <c r="P87" s="102">
        <f t="shared" si="22"/>
        <v>1433.1399999999999</v>
      </c>
      <c r="Q87" s="102">
        <f t="shared" si="22"/>
        <v>1434.84</v>
      </c>
      <c r="R87" s="102">
        <f t="shared" si="22"/>
        <v>1383.54</v>
      </c>
      <c r="S87" s="102">
        <f t="shared" si="22"/>
        <v>1411.04</v>
      </c>
      <c r="T87" s="102">
        <f t="shared" si="22"/>
        <v>1406.7399999999998</v>
      </c>
      <c r="U87" s="102">
        <f t="shared" si="22"/>
        <v>1356.1399999999999</v>
      </c>
      <c r="V87" s="102">
        <f t="shared" si="22"/>
        <v>1352.24</v>
      </c>
      <c r="W87" s="102">
        <f t="shared" si="22"/>
        <v>1338.6399999999999</v>
      </c>
      <c r="X87" s="102">
        <f t="shared" si="22"/>
        <v>1301.7399999999998</v>
      </c>
      <c r="Y87" s="102">
        <f t="shared" si="22"/>
        <v>1265.3399999999999</v>
      </c>
      <c r="Z87" s="102">
        <f t="shared" si="22"/>
        <v>1365.74</v>
      </c>
      <c r="AA87" s="102">
        <f t="shared" si="22"/>
        <v>1409.1399999999999</v>
      </c>
      <c r="AB87" s="102">
        <f t="shared" si="22"/>
        <v>1377.1399999999999</v>
      </c>
      <c r="AC87" s="102">
        <f t="shared" si="22"/>
        <v>1368.44</v>
      </c>
      <c r="AD87" s="102">
        <f t="shared" si="22"/>
        <v>1341.44</v>
      </c>
      <c r="AE87" s="102">
        <f t="shared" si="22"/>
        <v>1280.0400000000002</v>
      </c>
      <c r="AF87" s="102">
        <f t="shared" ref="AF87" si="24">AF48+AF52+AF70+AF66+AF82+AF86</f>
        <v>1234.94</v>
      </c>
      <c r="AG87" s="68">
        <f t="shared" si="22"/>
        <v>2065.09</v>
      </c>
      <c r="AH87" s="52">
        <f>MAX(B87:AF87)</f>
        <v>1434.84</v>
      </c>
      <c r="AI87" s="53">
        <f>MIN(B87:AF87)</f>
        <v>1149.8400000000001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>
        <v>130</v>
      </c>
      <c r="L88" s="104">
        <v>130</v>
      </c>
      <c r="M88" s="104">
        <v>130</v>
      </c>
      <c r="N88" s="104">
        <v>130</v>
      </c>
      <c r="O88" s="104">
        <v>100</v>
      </c>
      <c r="P88" s="104"/>
      <c r="Q88" s="104"/>
      <c r="R88" s="104"/>
      <c r="S88" s="104"/>
      <c r="T88" s="104"/>
      <c r="U88" s="104"/>
      <c r="V88" s="104"/>
      <c r="W88" s="104"/>
      <c r="X88" s="104">
        <v>80</v>
      </c>
      <c r="Y88" s="104">
        <v>80</v>
      </c>
      <c r="Z88" s="104">
        <v>80</v>
      </c>
      <c r="AA88" s="104">
        <v>80</v>
      </c>
      <c r="AB88" s="104">
        <v>80</v>
      </c>
      <c r="AC88" s="104"/>
      <c r="AD88" s="104"/>
      <c r="AE88" s="104"/>
      <c r="AF88" s="104"/>
      <c r="AG88" s="95"/>
      <c r="AH88" s="52">
        <f t="shared" si="17"/>
        <v>130</v>
      </c>
      <c r="AI88" s="53">
        <f t="shared" si="18"/>
        <v>80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v>1309.1399999999999</v>
      </c>
      <c r="C89" s="102">
        <f t="shared" ref="C89:AE89" si="25">C87+C88</f>
        <v>1212.8400000000001</v>
      </c>
      <c r="D89" s="102">
        <f t="shared" si="25"/>
        <v>1166.8400000000001</v>
      </c>
      <c r="E89" s="102">
        <f t="shared" si="25"/>
        <v>1154.8400000000001</v>
      </c>
      <c r="F89" s="102">
        <f t="shared" si="25"/>
        <v>1162.8400000000001</v>
      </c>
      <c r="G89" s="102">
        <f t="shared" si="25"/>
        <v>1174.8400000000001</v>
      </c>
      <c r="H89" s="102">
        <f t="shared" si="25"/>
        <v>1169.1399999999999</v>
      </c>
      <c r="I89" s="102">
        <f t="shared" si="25"/>
        <v>1165.1399999999999</v>
      </c>
      <c r="J89" s="102">
        <f t="shared" si="25"/>
        <v>1182.1399999999999</v>
      </c>
      <c r="K89" s="102">
        <f t="shared" ref="K89:L89" si="26">K87+K88</f>
        <v>1279.8400000000001</v>
      </c>
      <c r="L89" s="102">
        <f t="shared" si="26"/>
        <v>1314.8400000000001</v>
      </c>
      <c r="M89" s="102">
        <f t="shared" si="25"/>
        <v>1381.2399999999998</v>
      </c>
      <c r="N89" s="102">
        <f t="shared" si="25"/>
        <v>1397.04</v>
      </c>
      <c r="O89" s="102">
        <f t="shared" si="25"/>
        <v>1416.54</v>
      </c>
      <c r="P89" s="102">
        <f t="shared" si="25"/>
        <v>1433.1399999999999</v>
      </c>
      <c r="Q89" s="102">
        <f t="shared" si="25"/>
        <v>1434.84</v>
      </c>
      <c r="R89" s="102">
        <f t="shared" si="25"/>
        <v>1383.54</v>
      </c>
      <c r="S89" s="102">
        <f t="shared" si="25"/>
        <v>1411.04</v>
      </c>
      <c r="T89" s="102">
        <f t="shared" si="25"/>
        <v>1406.7399999999998</v>
      </c>
      <c r="U89" s="102">
        <f t="shared" si="25"/>
        <v>1356.1399999999999</v>
      </c>
      <c r="V89" s="102">
        <f t="shared" si="25"/>
        <v>1352.24</v>
      </c>
      <c r="W89" s="102">
        <f t="shared" si="25"/>
        <v>1338.6399999999999</v>
      </c>
      <c r="X89" s="102">
        <f t="shared" si="25"/>
        <v>1381.7399999999998</v>
      </c>
      <c r="Y89" s="102">
        <f t="shared" si="25"/>
        <v>1345.34</v>
      </c>
      <c r="Z89" s="102">
        <f t="shared" si="25"/>
        <v>1445.74</v>
      </c>
      <c r="AA89" s="102">
        <f t="shared" si="25"/>
        <v>1489.1399999999999</v>
      </c>
      <c r="AB89" s="102">
        <f t="shared" si="25"/>
        <v>1457.1399999999999</v>
      </c>
      <c r="AC89" s="102">
        <f t="shared" si="25"/>
        <v>1368.44</v>
      </c>
      <c r="AD89" s="102">
        <f t="shared" si="25"/>
        <v>1341.44</v>
      </c>
      <c r="AE89" s="102">
        <f t="shared" si="25"/>
        <v>1280.0400000000002</v>
      </c>
      <c r="AF89" s="102">
        <f t="shared" ref="AF89" si="27">AF87+AF88</f>
        <v>1234.94</v>
      </c>
      <c r="AG89" s="95">
        <f>AG86+AG82+AG70+AG66+AG48+AG88</f>
        <v>1526.99</v>
      </c>
      <c r="AH89" s="52">
        <f t="shared" si="17"/>
        <v>1489.1399999999999</v>
      </c>
      <c r="AI89" s="53">
        <f t="shared" si="18"/>
        <v>1154.8400000000001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v>1309.1399999999999</v>
      </c>
      <c r="C90" s="102">
        <f t="shared" ref="C90:AE90" si="28">C89-C97</f>
        <v>1212.8400000000001</v>
      </c>
      <c r="D90" s="102">
        <f t="shared" si="28"/>
        <v>1166.8400000000001</v>
      </c>
      <c r="E90" s="102">
        <f t="shared" si="28"/>
        <v>1154.8400000000001</v>
      </c>
      <c r="F90" s="102">
        <f t="shared" si="28"/>
        <v>1162.8400000000001</v>
      </c>
      <c r="G90" s="102">
        <f t="shared" si="28"/>
        <v>1174.8400000000001</v>
      </c>
      <c r="H90" s="102">
        <f t="shared" si="28"/>
        <v>1169.1399999999999</v>
      </c>
      <c r="I90" s="102">
        <f t="shared" si="28"/>
        <v>1165.1399999999999</v>
      </c>
      <c r="J90" s="102">
        <f t="shared" si="28"/>
        <v>1182.1399999999999</v>
      </c>
      <c r="K90" s="102">
        <f t="shared" ref="K90:L90" si="29">K89-K97</f>
        <v>1279.8400000000001</v>
      </c>
      <c r="L90" s="102">
        <f t="shared" si="29"/>
        <v>1314.8400000000001</v>
      </c>
      <c r="M90" s="102">
        <f t="shared" si="28"/>
        <v>1381.2399999999998</v>
      </c>
      <c r="N90" s="102">
        <f t="shared" si="28"/>
        <v>1397.04</v>
      </c>
      <c r="O90" s="102">
        <f t="shared" si="28"/>
        <v>1416.54</v>
      </c>
      <c r="P90" s="102">
        <f t="shared" si="28"/>
        <v>1433.1399999999999</v>
      </c>
      <c r="Q90" s="102">
        <f t="shared" si="28"/>
        <v>1434.84</v>
      </c>
      <c r="R90" s="102">
        <f t="shared" si="28"/>
        <v>1383.54</v>
      </c>
      <c r="S90" s="102">
        <f t="shared" si="28"/>
        <v>1411.04</v>
      </c>
      <c r="T90" s="102">
        <f t="shared" si="28"/>
        <v>1406.7399999999998</v>
      </c>
      <c r="U90" s="102">
        <f t="shared" si="28"/>
        <v>1356.1399999999999</v>
      </c>
      <c r="V90" s="102">
        <f t="shared" si="28"/>
        <v>1352.24</v>
      </c>
      <c r="W90" s="102">
        <f t="shared" si="28"/>
        <v>1338.6399999999999</v>
      </c>
      <c r="X90" s="102">
        <f t="shared" si="28"/>
        <v>1381.7399999999998</v>
      </c>
      <c r="Y90" s="102">
        <f t="shared" si="28"/>
        <v>1345.34</v>
      </c>
      <c r="Z90" s="102">
        <f t="shared" si="28"/>
        <v>1445.74</v>
      </c>
      <c r="AA90" s="102">
        <f t="shared" si="28"/>
        <v>1489.1399999999999</v>
      </c>
      <c r="AB90" s="102">
        <f t="shared" si="28"/>
        <v>1457.1399999999999</v>
      </c>
      <c r="AC90" s="102">
        <f t="shared" si="28"/>
        <v>1368.44</v>
      </c>
      <c r="AD90" s="102">
        <f t="shared" si="28"/>
        <v>1341.44</v>
      </c>
      <c r="AE90" s="102">
        <f t="shared" si="28"/>
        <v>1280.0400000000002</v>
      </c>
      <c r="AF90" s="102">
        <f t="shared" ref="AF90" si="30">AF89-AF97</f>
        <v>1234.94</v>
      </c>
      <c r="AG90" s="95"/>
      <c r="AH90" s="52">
        <f t="shared" si="17"/>
        <v>1489.1399999999999</v>
      </c>
      <c r="AI90" s="53">
        <f t="shared" si="18"/>
        <v>1154.8400000000001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7"/>
        <v>0</v>
      </c>
      <c r="AI91" s="53">
        <f t="shared" si="18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7"/>
        <v>0</v>
      </c>
      <c r="AI92" s="53">
        <f t="shared" si="18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7"/>
        <v>0</v>
      </c>
      <c r="AI93" s="53">
        <f t="shared" si="18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7"/>
        <v>0</v>
      </c>
      <c r="AI94" s="53">
        <f t="shared" si="18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7"/>
        <v>0</v>
      </c>
      <c r="AI95" s="53">
        <f t="shared" si="18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7"/>
        <v>0</v>
      </c>
      <c r="AI96" s="53">
        <f t="shared" si="18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7"/>
        <v>0</v>
      </c>
      <c r="AI97" s="53">
        <f t="shared" si="18"/>
        <v>0</v>
      </c>
      <c r="AK97" s="54"/>
    </row>
    <row r="98" spans="1:88" s="1" customFormat="1" ht="15.75" thickBot="1" x14ac:dyDescent="0.3">
      <c r="A98" s="81" t="s">
        <v>106</v>
      </c>
      <c r="B98" s="67">
        <v>463</v>
      </c>
      <c r="C98" s="67">
        <f t="shared" ref="C98:AE98" si="31">C82-C97</f>
        <v>478</v>
      </c>
      <c r="D98" s="67">
        <f t="shared" si="31"/>
        <v>467</v>
      </c>
      <c r="E98" s="67">
        <f t="shared" si="31"/>
        <v>450</v>
      </c>
      <c r="F98" s="67">
        <f t="shared" si="31"/>
        <v>458</v>
      </c>
      <c r="G98" s="67">
        <f t="shared" si="31"/>
        <v>507</v>
      </c>
      <c r="H98" s="67">
        <f t="shared" si="31"/>
        <v>477</v>
      </c>
      <c r="I98" s="67">
        <f t="shared" si="31"/>
        <v>471</v>
      </c>
      <c r="J98" s="67">
        <f t="shared" si="31"/>
        <v>505</v>
      </c>
      <c r="K98" s="67">
        <f t="shared" ref="K98:L98" si="32">K82-K97</f>
        <v>505</v>
      </c>
      <c r="L98" s="67">
        <f t="shared" si="32"/>
        <v>545</v>
      </c>
      <c r="M98" s="67">
        <f t="shared" si="31"/>
        <v>534.4</v>
      </c>
      <c r="N98" s="67">
        <f t="shared" si="31"/>
        <v>555.79999999999995</v>
      </c>
      <c r="O98" s="67">
        <f t="shared" si="31"/>
        <v>563.4</v>
      </c>
      <c r="P98" s="67">
        <f t="shared" si="31"/>
        <v>575.5</v>
      </c>
      <c r="Q98" s="67">
        <f t="shared" si="31"/>
        <v>551.70000000000005</v>
      </c>
      <c r="R98" s="67">
        <f t="shared" si="31"/>
        <v>575.70000000000005</v>
      </c>
      <c r="S98" s="67">
        <f t="shared" si="31"/>
        <v>558.1</v>
      </c>
      <c r="T98" s="67">
        <f t="shared" si="31"/>
        <v>568.9</v>
      </c>
      <c r="U98" s="67">
        <f t="shared" si="31"/>
        <v>547.6</v>
      </c>
      <c r="V98" s="67">
        <f t="shared" si="31"/>
        <v>513.70000000000005</v>
      </c>
      <c r="W98" s="67">
        <f t="shared" si="31"/>
        <v>499.2</v>
      </c>
      <c r="X98" s="67">
        <f t="shared" si="31"/>
        <v>476.59999999999997</v>
      </c>
      <c r="Y98" s="67">
        <f t="shared" si="31"/>
        <v>504.7</v>
      </c>
      <c r="Z98" s="67">
        <f t="shared" si="31"/>
        <v>529</v>
      </c>
      <c r="AA98" s="67">
        <f t="shared" si="31"/>
        <v>496.4</v>
      </c>
      <c r="AB98" s="67">
        <f t="shared" si="31"/>
        <v>513.70000000000005</v>
      </c>
      <c r="AC98" s="67">
        <f t="shared" si="31"/>
        <v>514.70000000000005</v>
      </c>
      <c r="AD98" s="67">
        <f t="shared" si="31"/>
        <v>523</v>
      </c>
      <c r="AE98" s="67">
        <f t="shared" si="31"/>
        <v>535.70000000000005</v>
      </c>
      <c r="AF98" s="67">
        <f t="shared" ref="AF98" si="33">AF82-AF97</f>
        <v>536.5</v>
      </c>
      <c r="AG98" s="95"/>
      <c r="AH98" s="52">
        <f t="shared" si="17"/>
        <v>575.70000000000005</v>
      </c>
      <c r="AI98" s="53">
        <f t="shared" si="18"/>
        <v>450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49.914999999999999</v>
      </c>
      <c r="C99" s="108">
        <v>49.95</v>
      </c>
      <c r="D99" s="108">
        <v>49.88</v>
      </c>
      <c r="E99" s="108">
        <v>49.88</v>
      </c>
      <c r="F99" s="108">
        <v>49.88</v>
      </c>
      <c r="G99" s="108">
        <v>49.9</v>
      </c>
      <c r="H99" s="108">
        <v>49.9</v>
      </c>
      <c r="I99" s="108">
        <v>49.9</v>
      </c>
      <c r="J99" s="108">
        <v>50.02</v>
      </c>
      <c r="K99" s="108">
        <v>50.05</v>
      </c>
      <c r="L99" s="108">
        <v>50.1</v>
      </c>
      <c r="M99" s="108">
        <v>50.2</v>
      </c>
      <c r="N99" s="108">
        <v>50.156999999999996</v>
      </c>
      <c r="O99" s="108">
        <v>49.9</v>
      </c>
      <c r="P99" s="108">
        <v>49.905999999999999</v>
      </c>
      <c r="Q99" s="108">
        <v>49.902999999999999</v>
      </c>
      <c r="R99" s="108">
        <v>50.170999999999999</v>
      </c>
      <c r="S99" s="108">
        <v>50.052</v>
      </c>
      <c r="T99" s="108">
        <v>50.084000000000003</v>
      </c>
      <c r="U99" s="108">
        <v>49.987000000000002</v>
      </c>
      <c r="V99" s="108">
        <v>50.024000000000001</v>
      </c>
      <c r="W99" s="108">
        <v>49.89</v>
      </c>
      <c r="X99" s="108">
        <v>49.790999999999997</v>
      </c>
      <c r="Y99" s="108">
        <v>50.073</v>
      </c>
      <c r="Z99" s="108">
        <v>50.031999999999996</v>
      </c>
      <c r="AA99" s="108">
        <v>49.902000000000001</v>
      </c>
      <c r="AB99" s="108">
        <v>49.9</v>
      </c>
      <c r="AC99" s="108">
        <v>49.97</v>
      </c>
      <c r="AD99" s="108">
        <v>49.97</v>
      </c>
      <c r="AE99" s="108">
        <v>50.12</v>
      </c>
      <c r="AF99" s="108">
        <v>50.12</v>
      </c>
      <c r="AG99" s="109"/>
      <c r="AH99" s="52">
        <f t="shared" si="17"/>
        <v>50.2</v>
      </c>
      <c r="AI99" s="53">
        <f t="shared" si="18"/>
        <v>49.790999999999997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128</v>
      </c>
      <c r="C100" s="72">
        <v>127</v>
      </c>
      <c r="D100" s="72">
        <v>127</v>
      </c>
      <c r="E100" s="72">
        <v>127</v>
      </c>
      <c r="F100" s="72">
        <v>127</v>
      </c>
      <c r="G100" s="72">
        <v>127.1</v>
      </c>
      <c r="H100" s="72">
        <v>127.1</v>
      </c>
      <c r="I100" s="72">
        <v>127.1</v>
      </c>
      <c r="J100" s="72">
        <v>127.1</v>
      </c>
      <c r="K100" s="72">
        <v>127.1</v>
      </c>
      <c r="L100" s="72">
        <v>127.3</v>
      </c>
      <c r="M100" s="72">
        <v>127.8</v>
      </c>
      <c r="N100" s="72">
        <v>127.8</v>
      </c>
      <c r="O100" s="72">
        <v>127.8</v>
      </c>
      <c r="P100" s="72">
        <v>127.8</v>
      </c>
      <c r="Q100" s="72">
        <v>126.5</v>
      </c>
      <c r="R100" s="72">
        <v>125.6</v>
      </c>
      <c r="S100" s="72">
        <v>126.1</v>
      </c>
      <c r="T100" s="72">
        <v>126.5</v>
      </c>
      <c r="U100" s="72">
        <v>125.9</v>
      </c>
      <c r="V100" s="72">
        <v>125.6</v>
      </c>
      <c r="W100" s="72">
        <v>126.6</v>
      </c>
      <c r="X100" s="72">
        <v>128.80000000000001</v>
      </c>
      <c r="Y100" s="72">
        <v>127.8</v>
      </c>
      <c r="Z100" s="72">
        <v>128.19999999999999</v>
      </c>
      <c r="AA100" s="72">
        <v>126.9</v>
      </c>
      <c r="AB100" s="72">
        <v>126.5</v>
      </c>
      <c r="AC100" s="72">
        <v>126.3</v>
      </c>
      <c r="AD100" s="72">
        <v>126.3</v>
      </c>
      <c r="AE100" s="72">
        <v>127.5</v>
      </c>
      <c r="AF100" s="72">
        <v>127.5</v>
      </c>
      <c r="AG100" s="111"/>
      <c r="AH100" s="52">
        <f t="shared" si="17"/>
        <v>128.80000000000001</v>
      </c>
      <c r="AI100" s="53">
        <f t="shared" si="18"/>
        <v>125.6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132</v>
      </c>
      <c r="C101" s="72">
        <v>131</v>
      </c>
      <c r="D101" s="72">
        <v>132</v>
      </c>
      <c r="E101" s="72">
        <v>132</v>
      </c>
      <c r="F101" s="72">
        <v>132</v>
      </c>
      <c r="G101" s="72">
        <v>131.19999999999999</v>
      </c>
      <c r="H101" s="72">
        <v>131.19999999999999</v>
      </c>
      <c r="I101" s="72">
        <v>131.19999999999999</v>
      </c>
      <c r="J101" s="72">
        <v>131.19999999999999</v>
      </c>
      <c r="K101" s="72">
        <v>130</v>
      </c>
      <c r="L101" s="72">
        <v>128.69999999999999</v>
      </c>
      <c r="M101" s="72">
        <v>129</v>
      </c>
      <c r="N101" s="72">
        <v>129</v>
      </c>
      <c r="O101" s="72">
        <v>129</v>
      </c>
      <c r="P101" s="72">
        <v>129</v>
      </c>
      <c r="Q101" s="72">
        <v>129.80000000000001</v>
      </c>
      <c r="R101" s="72">
        <v>129.4</v>
      </c>
      <c r="S101" s="72">
        <v>129.4</v>
      </c>
      <c r="T101" s="72">
        <v>130</v>
      </c>
      <c r="U101" s="72">
        <v>130.19999999999999</v>
      </c>
      <c r="V101" s="72">
        <v>130.1</v>
      </c>
      <c r="W101" s="72">
        <v>130.6</v>
      </c>
      <c r="X101" s="72">
        <v>132</v>
      </c>
      <c r="Y101" s="72">
        <v>130.19999999999999</v>
      </c>
      <c r="Z101" s="72">
        <v>130.6</v>
      </c>
      <c r="AA101" s="72">
        <v>129.69999999999999</v>
      </c>
      <c r="AB101" s="72">
        <v>129.80000000000001</v>
      </c>
      <c r="AC101" s="72">
        <v>129.9</v>
      </c>
      <c r="AD101" s="72">
        <v>129.9</v>
      </c>
      <c r="AE101" s="72">
        <v>131.6</v>
      </c>
      <c r="AF101" s="72">
        <v>131.6</v>
      </c>
      <c r="AG101" s="111"/>
      <c r="AH101" s="52">
        <f t="shared" si="17"/>
        <v>132</v>
      </c>
      <c r="AI101" s="53">
        <f t="shared" si="18"/>
        <v>128.69999999999999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133</v>
      </c>
      <c r="C102" s="72">
        <v>129.5</v>
      </c>
      <c r="D102" s="72">
        <v>129.5</v>
      </c>
      <c r="E102" s="72">
        <v>129.5</v>
      </c>
      <c r="F102" s="72">
        <v>129.5</v>
      </c>
      <c r="G102" s="72">
        <v>129.69999999999999</v>
      </c>
      <c r="H102" s="72">
        <v>129.69999999999999</v>
      </c>
      <c r="I102" s="72">
        <v>129.69999999999999</v>
      </c>
      <c r="J102" s="72">
        <v>129.69999999999999</v>
      </c>
      <c r="K102" s="72">
        <v>129.69999999999999</v>
      </c>
      <c r="L102" s="72">
        <v>126.5</v>
      </c>
      <c r="M102" s="72">
        <v>129</v>
      </c>
      <c r="N102" s="72">
        <v>129</v>
      </c>
      <c r="O102" s="72">
        <v>129</v>
      </c>
      <c r="P102" s="72">
        <v>129</v>
      </c>
      <c r="Q102" s="72">
        <v>126.6</v>
      </c>
      <c r="R102" s="72">
        <v>126.8</v>
      </c>
      <c r="S102" s="72">
        <v>126.8</v>
      </c>
      <c r="T102" s="72">
        <v>128</v>
      </c>
      <c r="U102" s="72">
        <v>129</v>
      </c>
      <c r="V102" s="72">
        <v>130.4</v>
      </c>
      <c r="W102" s="72">
        <v>128.9</v>
      </c>
      <c r="X102" s="72">
        <v>132</v>
      </c>
      <c r="Y102" s="72">
        <v>127.1</v>
      </c>
      <c r="Z102" s="72">
        <v>127.1</v>
      </c>
      <c r="AA102" s="72">
        <v>129</v>
      </c>
      <c r="AB102" s="72">
        <v>129.69999999999999</v>
      </c>
      <c r="AC102" s="72">
        <v>131.19999999999999</v>
      </c>
      <c r="AD102" s="72">
        <v>131.19999999999999</v>
      </c>
      <c r="AE102" s="72">
        <v>131.1</v>
      </c>
      <c r="AF102" s="72">
        <v>131.1</v>
      </c>
      <c r="AG102" s="111"/>
      <c r="AH102" s="52">
        <f t="shared" si="17"/>
        <v>133</v>
      </c>
      <c r="AI102" s="53">
        <f t="shared" si="18"/>
        <v>126.5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7"/>
        <v>0</v>
      </c>
      <c r="AI103" s="53">
        <f t="shared" si="18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133</v>
      </c>
      <c r="C104" s="113">
        <v>131.69999999999999</v>
      </c>
      <c r="D104" s="113">
        <v>131.69999999999999</v>
      </c>
      <c r="E104" s="113">
        <v>131.69999999999999</v>
      </c>
      <c r="F104" s="113">
        <v>131.69999999999999</v>
      </c>
      <c r="G104" s="113">
        <v>132.69999999999999</v>
      </c>
      <c r="H104" s="113">
        <v>132.69999999999999</v>
      </c>
      <c r="I104" s="113">
        <v>132.69999999999999</v>
      </c>
      <c r="J104" s="113">
        <v>132.69999999999999</v>
      </c>
      <c r="K104" s="113">
        <v>132.69999999999999</v>
      </c>
      <c r="L104" s="113">
        <v>132.30000000000001</v>
      </c>
      <c r="M104" s="113">
        <v>133</v>
      </c>
      <c r="N104" s="113">
        <v>133</v>
      </c>
      <c r="O104" s="113">
        <v>133</v>
      </c>
      <c r="P104" s="113">
        <v>133</v>
      </c>
      <c r="Q104" s="113">
        <v>136</v>
      </c>
      <c r="R104" s="113">
        <v>132.80000000000001</v>
      </c>
      <c r="S104" s="113">
        <v>131.4</v>
      </c>
      <c r="T104" s="113">
        <v>130.19999999999999</v>
      </c>
      <c r="U104" s="113">
        <v>133.69999999999999</v>
      </c>
      <c r="V104" s="113">
        <v>133.6</v>
      </c>
      <c r="W104" s="113">
        <v>134.4</v>
      </c>
      <c r="X104" s="113">
        <v>134.80000000000001</v>
      </c>
      <c r="Y104" s="113">
        <v>135.69999999999999</v>
      </c>
      <c r="Z104" s="113">
        <v>134.6</v>
      </c>
      <c r="AA104" s="113">
        <v>134.19999999999999</v>
      </c>
      <c r="AB104" s="113">
        <v>135.6</v>
      </c>
      <c r="AC104" s="113">
        <v>134.80000000000001</v>
      </c>
      <c r="AD104" s="113">
        <v>134.80000000000001</v>
      </c>
      <c r="AE104" s="113">
        <v>133.4</v>
      </c>
      <c r="AF104" s="113">
        <v>133.4</v>
      </c>
      <c r="AG104" s="114"/>
      <c r="AH104" s="52">
        <f t="shared" si="17"/>
        <v>136</v>
      </c>
      <c r="AI104" s="53">
        <f t="shared" si="18"/>
        <v>130.19999999999999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131</v>
      </c>
      <c r="C105" s="72">
        <v>133</v>
      </c>
      <c r="D105" s="72">
        <v>133</v>
      </c>
      <c r="E105" s="72">
        <v>133</v>
      </c>
      <c r="F105" s="72">
        <v>133</v>
      </c>
      <c r="G105" s="72">
        <v>130.30000000000001</v>
      </c>
      <c r="H105" s="72">
        <v>130.30000000000001</v>
      </c>
      <c r="I105" s="72">
        <v>130.30000000000001</v>
      </c>
      <c r="J105" s="72">
        <v>130.30000000000001</v>
      </c>
      <c r="K105" s="72">
        <v>130.30000000000001</v>
      </c>
      <c r="L105" s="72">
        <v>136</v>
      </c>
      <c r="M105" s="72">
        <v>133</v>
      </c>
      <c r="N105" s="72">
        <v>133</v>
      </c>
      <c r="O105" s="72">
        <v>133</v>
      </c>
      <c r="P105" s="72">
        <v>133</v>
      </c>
      <c r="Q105" s="72">
        <v>138.6</v>
      </c>
      <c r="R105" s="72">
        <v>130.5</v>
      </c>
      <c r="S105" s="72">
        <v>131</v>
      </c>
      <c r="T105" s="72">
        <v>129.19999999999999</v>
      </c>
      <c r="U105" s="72">
        <v>131.80000000000001</v>
      </c>
      <c r="V105" s="72">
        <v>128.5</v>
      </c>
      <c r="W105" s="72">
        <v>131.19999999999999</v>
      </c>
      <c r="X105" s="72"/>
      <c r="Y105" s="72"/>
      <c r="Z105" s="72"/>
      <c r="AA105" s="72"/>
      <c r="AB105" s="72"/>
      <c r="AC105" s="72"/>
      <c r="AD105" s="72"/>
      <c r="AE105" s="72"/>
      <c r="AF105" s="72"/>
      <c r="AG105" s="111"/>
      <c r="AH105" s="52">
        <f t="shared" si="17"/>
        <v>138.6</v>
      </c>
      <c r="AI105" s="53">
        <f t="shared" si="18"/>
        <v>128.5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66.400000000000006</v>
      </c>
      <c r="C106" s="99">
        <v>66.2</v>
      </c>
      <c r="D106" s="99">
        <v>66.2</v>
      </c>
      <c r="E106" s="99">
        <v>66.2</v>
      </c>
      <c r="F106" s="99">
        <v>66.2</v>
      </c>
      <c r="G106" s="99">
        <v>65.7</v>
      </c>
      <c r="H106" s="99">
        <v>65.7</v>
      </c>
      <c r="I106" s="99">
        <v>65.7</v>
      </c>
      <c r="J106" s="99">
        <v>65.7</v>
      </c>
      <c r="K106" s="99">
        <v>65.7</v>
      </c>
      <c r="L106" s="99">
        <v>64.5</v>
      </c>
      <c r="M106" s="99">
        <v>64.7</v>
      </c>
      <c r="N106" s="99">
        <v>64.7</v>
      </c>
      <c r="O106" s="99">
        <v>64.7</v>
      </c>
      <c r="P106" s="99">
        <v>64.7</v>
      </c>
      <c r="Q106" s="99">
        <v>64.7</v>
      </c>
      <c r="R106" s="99">
        <v>64.599999999999994</v>
      </c>
      <c r="S106" s="99">
        <v>64.7</v>
      </c>
      <c r="T106" s="99">
        <v>64.8</v>
      </c>
      <c r="U106" s="99">
        <v>64.8</v>
      </c>
      <c r="V106" s="99">
        <v>64.7</v>
      </c>
      <c r="W106" s="99">
        <v>65</v>
      </c>
      <c r="X106" s="99">
        <v>65.8</v>
      </c>
      <c r="Y106" s="99">
        <v>65.099999999999994</v>
      </c>
      <c r="Z106" s="99">
        <v>65.3</v>
      </c>
      <c r="AA106" s="99">
        <v>64.900000000000006</v>
      </c>
      <c r="AB106" s="99">
        <v>65.099999999999994</v>
      </c>
      <c r="AC106" s="99">
        <v>65.3</v>
      </c>
      <c r="AD106" s="99">
        <v>65.3</v>
      </c>
      <c r="AE106" s="99">
        <v>66.2</v>
      </c>
      <c r="AF106" s="99">
        <v>66.2</v>
      </c>
      <c r="AG106" s="115"/>
      <c r="AH106" s="52">
        <f t="shared" si="17"/>
        <v>66.400000000000006</v>
      </c>
      <c r="AI106" s="53">
        <f t="shared" si="18"/>
        <v>64.5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7"/>
        <v>0</v>
      </c>
      <c r="AI107" s="53">
        <f t="shared" si="18"/>
        <v>0</v>
      </c>
    </row>
    <row r="108" spans="1:88" ht="15.75" thickBot="1" x14ac:dyDescent="0.3">
      <c r="A108" s="117" t="s">
        <v>116</v>
      </c>
      <c r="B108" s="118">
        <v>127.5</v>
      </c>
      <c r="C108" s="118">
        <f t="shared" ref="C108:AF108" si="34">SUM(C18,C24,C27:C28,C56,C58:C59,C61,C63,C109:C113,C135,C141,C147,C156,C158,C170,C177,C180:C181,C188,C190,C192,C196:C198,C200:C202,C207,C213:C214,C216:C218,C226,C231)</f>
        <v>109.44</v>
      </c>
      <c r="D108" s="118">
        <f t="shared" si="34"/>
        <v>106.44</v>
      </c>
      <c r="E108" s="118">
        <f t="shared" si="34"/>
        <v>106.44</v>
      </c>
      <c r="F108" s="118">
        <f t="shared" si="34"/>
        <v>105.03999999999999</v>
      </c>
      <c r="G108" s="118">
        <f t="shared" si="34"/>
        <v>111.64</v>
      </c>
      <c r="H108" s="118">
        <f t="shared" si="34"/>
        <v>111.64</v>
      </c>
      <c r="I108" s="118">
        <f t="shared" si="34"/>
        <v>113.74</v>
      </c>
      <c r="J108" s="118">
        <f t="shared" si="34"/>
        <v>203.04000000000002</v>
      </c>
      <c r="K108" s="118">
        <f t="shared" ref="K108" si="35">SUM(K18,K24,K27:K28,K56,K58:K59,K61,K63,K109:K113,K135,K141,K147,K156,K158,K170,K177,K180:K181,K188,K190,K192,K196:K198,K200:K202,K207,K213:K214,K216:K218,K226,K231)</f>
        <v>203.04000000000002</v>
      </c>
      <c r="L108" s="118">
        <f>SUM(L18,L24,L27:L28,L56,L58:L59,L61,L63,L109:L113,L135,L141,L147,L156,L158,L170,L177,L180:L181,L188,L190,L192,L196:L198,L200:L202,L207,L213:L214,L216:L218,L226,L231)</f>
        <v>240.14</v>
      </c>
      <c r="M108" s="118">
        <f>SUM(M18,M24,M27:M28,M56,M58:M59,M61,M63,M109:M113,M135,M141,M147,M156,M158,M170,M177,M180:M181,M188,M190,M192,M196:M198,M200:M202,M207,M213:M214,M216:M218,M226,M231)</f>
        <v>279.73999999999995</v>
      </c>
      <c r="N108" s="118">
        <f t="shared" si="34"/>
        <v>272.04000000000002</v>
      </c>
      <c r="O108" s="118">
        <f t="shared" si="34"/>
        <v>260.94</v>
      </c>
      <c r="P108" s="118">
        <v>42</v>
      </c>
      <c r="Q108" s="118">
        <f t="shared" si="34"/>
        <v>273.10000000000002</v>
      </c>
      <c r="R108" s="118">
        <f t="shared" si="34"/>
        <v>242.29999999999998</v>
      </c>
      <c r="S108" s="118">
        <f t="shared" si="34"/>
        <v>239.2</v>
      </c>
      <c r="T108" s="118">
        <f t="shared" si="34"/>
        <v>251.5</v>
      </c>
      <c r="U108" s="118">
        <f t="shared" si="34"/>
        <v>263.70000000000005</v>
      </c>
      <c r="V108" s="118">
        <f t="shared" si="34"/>
        <v>262.60000000000002</v>
      </c>
      <c r="W108" s="118">
        <f t="shared" si="34"/>
        <v>256.60000000000002</v>
      </c>
      <c r="X108" s="118">
        <f t="shared" si="34"/>
        <v>266.8</v>
      </c>
      <c r="Y108" s="118">
        <f t="shared" si="34"/>
        <v>299.8</v>
      </c>
      <c r="Z108" s="118">
        <f t="shared" si="34"/>
        <v>339.1</v>
      </c>
      <c r="AA108" s="118">
        <f t="shared" si="34"/>
        <v>322.70000000000005</v>
      </c>
      <c r="AB108" s="118">
        <f t="shared" si="34"/>
        <v>285.29999999999995</v>
      </c>
      <c r="AC108" s="118">
        <f t="shared" si="34"/>
        <v>266.10000000000002</v>
      </c>
      <c r="AD108" s="118">
        <f t="shared" si="34"/>
        <v>238.59999999999997</v>
      </c>
      <c r="AE108" s="118">
        <f t="shared" si="34"/>
        <v>178.8</v>
      </c>
      <c r="AF108" s="118">
        <f t="shared" si="34"/>
        <v>139.80000000000001</v>
      </c>
      <c r="AG108" s="119"/>
      <c r="AH108" s="52">
        <f t="shared" si="17"/>
        <v>339.1</v>
      </c>
      <c r="AI108" s="53">
        <f t="shared" si="18"/>
        <v>42</v>
      </c>
    </row>
    <row r="109" spans="1:88" x14ac:dyDescent="0.25">
      <c r="A109" s="107" t="s">
        <v>117</v>
      </c>
      <c r="B109" s="120">
        <v>-21</v>
      </c>
      <c r="C109" s="120">
        <v>-22</v>
      </c>
      <c r="D109" s="120">
        <v>-24</v>
      </c>
      <c r="E109" s="120">
        <v>-24</v>
      </c>
      <c r="F109" s="120">
        <v>-18</v>
      </c>
      <c r="G109" s="120">
        <v>-14.1</v>
      </c>
      <c r="H109" s="120">
        <v>-14.1</v>
      </c>
      <c r="I109" s="120">
        <v>-14</v>
      </c>
      <c r="J109" s="120">
        <v>-13.9</v>
      </c>
      <c r="K109" s="120">
        <v>-13.9</v>
      </c>
      <c r="L109" s="120">
        <v>-9.8000000000000007</v>
      </c>
      <c r="M109" s="120">
        <v>-3.6</v>
      </c>
      <c r="N109" s="120">
        <v>0.9</v>
      </c>
      <c r="O109" s="120">
        <v>20.6</v>
      </c>
      <c r="P109" s="120">
        <v>27.8</v>
      </c>
      <c r="Q109" s="120">
        <v>32.4</v>
      </c>
      <c r="R109" s="120">
        <v>22.4</v>
      </c>
      <c r="S109" s="120">
        <v>24.5</v>
      </c>
      <c r="T109" s="120">
        <v>6.9</v>
      </c>
      <c r="U109" s="120">
        <v>10.9</v>
      </c>
      <c r="V109" s="120">
        <v>11.2</v>
      </c>
      <c r="W109" s="120">
        <v>11.4</v>
      </c>
      <c r="X109" s="120">
        <v>19.8</v>
      </c>
      <c r="Y109" s="120">
        <v>28.4</v>
      </c>
      <c r="Z109" s="120">
        <v>28.9</v>
      </c>
      <c r="AA109" s="120">
        <v>29.1</v>
      </c>
      <c r="AB109" s="120">
        <v>29</v>
      </c>
      <c r="AC109" s="120">
        <v>27.5</v>
      </c>
      <c r="AD109" s="120">
        <v>26.9</v>
      </c>
      <c r="AE109" s="120">
        <v>13.6</v>
      </c>
      <c r="AF109" s="120">
        <v>4.4000000000000004</v>
      </c>
      <c r="AG109" s="121">
        <v>75</v>
      </c>
      <c r="AH109" s="52">
        <f t="shared" si="17"/>
        <v>32.4</v>
      </c>
      <c r="AI109" s="53">
        <f t="shared" si="18"/>
        <v>-24</v>
      </c>
    </row>
    <row r="110" spans="1:88" x14ac:dyDescent="0.25">
      <c r="A110" s="110" t="s">
        <v>118</v>
      </c>
      <c r="B110" s="122">
        <v>-18</v>
      </c>
      <c r="C110" s="122">
        <v>-20</v>
      </c>
      <c r="D110" s="122">
        <v>-20</v>
      </c>
      <c r="E110" s="122">
        <v>-20</v>
      </c>
      <c r="F110" s="122">
        <v>-17.399999999999999</v>
      </c>
      <c r="G110" s="122">
        <v>-18</v>
      </c>
      <c r="H110" s="122">
        <v>-18</v>
      </c>
      <c r="I110" s="122">
        <v>-18</v>
      </c>
      <c r="J110" s="122">
        <v>-19</v>
      </c>
      <c r="K110" s="122">
        <v>-19</v>
      </c>
      <c r="L110" s="122">
        <v>-17.5</v>
      </c>
      <c r="M110" s="122">
        <v>-10.7</v>
      </c>
      <c r="N110" s="122">
        <v>-4.3</v>
      </c>
      <c r="O110" s="122">
        <v>25.5</v>
      </c>
      <c r="P110" s="122">
        <v>41</v>
      </c>
      <c r="Q110" s="122">
        <v>45.8</v>
      </c>
      <c r="R110" s="122">
        <v>34.200000000000003</v>
      </c>
      <c r="S110" s="122">
        <v>38.5</v>
      </c>
      <c r="T110" s="122">
        <v>13.1</v>
      </c>
      <c r="U110" s="122">
        <v>16.7</v>
      </c>
      <c r="V110" s="122">
        <v>14.3</v>
      </c>
      <c r="W110" s="122">
        <v>13.5</v>
      </c>
      <c r="X110" s="122">
        <v>24.9</v>
      </c>
      <c r="Y110" s="122">
        <v>36</v>
      </c>
      <c r="Z110" s="122">
        <v>34.1</v>
      </c>
      <c r="AA110" s="122">
        <v>35.1</v>
      </c>
      <c r="AB110" s="122">
        <v>37.299999999999997</v>
      </c>
      <c r="AC110" s="122">
        <v>36.799999999999997</v>
      </c>
      <c r="AD110" s="122">
        <v>36.299999999999997</v>
      </c>
      <c r="AE110" s="122">
        <v>17.5</v>
      </c>
      <c r="AF110" s="122">
        <v>7.7</v>
      </c>
      <c r="AG110" s="121">
        <v>240</v>
      </c>
      <c r="AH110" s="52">
        <f t="shared" si="17"/>
        <v>45.8</v>
      </c>
      <c r="AI110" s="53">
        <f t="shared" si="18"/>
        <v>-20</v>
      </c>
    </row>
    <row r="111" spans="1:88" x14ac:dyDescent="0.25">
      <c r="A111" s="110" t="s">
        <v>119</v>
      </c>
      <c r="B111" s="122">
        <v>-44</v>
      </c>
      <c r="C111" s="122">
        <v>-54</v>
      </c>
      <c r="D111" s="122">
        <v>-50</v>
      </c>
      <c r="E111" s="122">
        <v>-50</v>
      </c>
      <c r="F111" s="122">
        <v>-60</v>
      </c>
      <c r="G111" s="122">
        <f>-43-25.7</f>
        <v>-68.7</v>
      </c>
      <c r="H111" s="122">
        <f t="shared" ref="H111:I111" si="36">-43-25.7</f>
        <v>-68.7</v>
      </c>
      <c r="I111" s="122">
        <f t="shared" si="36"/>
        <v>-68.7</v>
      </c>
      <c r="J111" s="122">
        <f>-23.2+9.4</f>
        <v>-13.799999999999999</v>
      </c>
      <c r="K111" s="122">
        <f t="shared" ref="K111" si="37">-23.2+9.4</f>
        <v>-13.799999999999999</v>
      </c>
      <c r="L111" s="122">
        <f>-15.6+18.3</f>
        <v>2.7000000000000011</v>
      </c>
      <c r="M111" s="122">
        <v>43.2</v>
      </c>
      <c r="N111" s="122">
        <v>50</v>
      </c>
      <c r="O111" s="122">
        <v>16.8</v>
      </c>
      <c r="P111" s="122">
        <v>-2.7</v>
      </c>
      <c r="Q111" s="122">
        <v>-4.2</v>
      </c>
      <c r="R111" s="122">
        <v>0</v>
      </c>
      <c r="S111" s="122">
        <v>-12</v>
      </c>
      <c r="T111" s="122">
        <v>-7.5</v>
      </c>
      <c r="U111" s="122">
        <v>-3</v>
      </c>
      <c r="V111" s="122">
        <v>-1</v>
      </c>
      <c r="W111" s="122">
        <v>-3.6</v>
      </c>
      <c r="X111" s="122">
        <v>0</v>
      </c>
      <c r="Y111" s="122">
        <v>12</v>
      </c>
      <c r="Z111" s="122">
        <v>38</v>
      </c>
      <c r="AA111" s="122">
        <v>28</v>
      </c>
      <c r="AB111" s="122">
        <v>6.6</v>
      </c>
      <c r="AC111" s="122">
        <f>-5-9</f>
        <v>-14</v>
      </c>
      <c r="AD111" s="122">
        <f>-11.2-13.8</f>
        <v>-25</v>
      </c>
      <c r="AE111" s="122">
        <f>-19.8-22.7</f>
        <v>-42.5</v>
      </c>
      <c r="AF111" s="122">
        <f>-22.4-26.1</f>
        <v>-48.5</v>
      </c>
      <c r="AG111" s="121">
        <v>240</v>
      </c>
      <c r="AH111" s="52">
        <f t="shared" si="17"/>
        <v>50</v>
      </c>
      <c r="AI111" s="53">
        <f t="shared" si="18"/>
        <v>-68.7</v>
      </c>
    </row>
    <row r="112" spans="1:88" x14ac:dyDescent="0.25">
      <c r="A112" s="110" t="s">
        <v>120</v>
      </c>
      <c r="B112" s="122">
        <v>20</v>
      </c>
      <c r="C112" s="122">
        <v>26</v>
      </c>
      <c r="D112" s="122">
        <v>23</v>
      </c>
      <c r="E112" s="122">
        <v>23</v>
      </c>
      <c r="F112" s="122">
        <v>23</v>
      </c>
      <c r="G112" s="122">
        <v>35.799999999999997</v>
      </c>
      <c r="H112" s="122">
        <v>35.799999999999997</v>
      </c>
      <c r="I112" s="122">
        <v>35.799999999999997</v>
      </c>
      <c r="J112" s="122">
        <v>49.6</v>
      </c>
      <c r="K112" s="122">
        <v>49.6</v>
      </c>
      <c r="L112" s="122">
        <v>53.3</v>
      </c>
      <c r="M112" s="122">
        <v>52.5</v>
      </c>
      <c r="N112" s="122">
        <v>38.700000000000003</v>
      </c>
      <c r="O112" s="122">
        <v>19.100000000000001</v>
      </c>
      <c r="P112" s="122">
        <v>24.9</v>
      </c>
      <c r="Q112" s="122">
        <v>13.1</v>
      </c>
      <c r="R112" s="122">
        <v>21.8</v>
      </c>
      <c r="S112" s="122">
        <v>23</v>
      </c>
      <c r="T112" s="122">
        <v>37.299999999999997</v>
      </c>
      <c r="U112" s="122">
        <v>32</v>
      </c>
      <c r="V112" s="122">
        <v>41.4</v>
      </c>
      <c r="W112" s="122">
        <v>43.2</v>
      </c>
      <c r="X112" s="122">
        <v>21</v>
      </c>
      <c r="Y112" s="122">
        <v>30</v>
      </c>
      <c r="Z112" s="122">
        <v>44</v>
      </c>
      <c r="AA112" s="122">
        <v>43.4</v>
      </c>
      <c r="AB112" s="122">
        <v>27.6</v>
      </c>
      <c r="AC112" s="122">
        <v>20.5</v>
      </c>
      <c r="AD112" s="122">
        <v>18.600000000000001</v>
      </c>
      <c r="AE112" s="122">
        <v>11.4</v>
      </c>
      <c r="AF112" s="122">
        <v>7.2</v>
      </c>
      <c r="AG112" s="121">
        <v>60</v>
      </c>
      <c r="AH112" s="52">
        <f t="shared" si="17"/>
        <v>53.3</v>
      </c>
      <c r="AI112" s="53">
        <f t="shared" si="18"/>
        <v>7.2</v>
      </c>
    </row>
    <row r="113" spans="1:37" x14ac:dyDescent="0.25">
      <c r="A113" s="123" t="s">
        <v>121</v>
      </c>
      <c r="B113" s="124">
        <v>85</v>
      </c>
      <c r="C113" s="124">
        <v>90</v>
      </c>
      <c r="D113" s="124">
        <v>88</v>
      </c>
      <c r="E113" s="124">
        <v>88</v>
      </c>
      <c r="F113" s="124">
        <v>88</v>
      </c>
      <c r="G113" s="124">
        <v>87.2</v>
      </c>
      <c r="H113" s="124">
        <v>87.2</v>
      </c>
      <c r="I113" s="124">
        <v>87.2</v>
      </c>
      <c r="J113" s="124">
        <v>108.7</v>
      </c>
      <c r="K113" s="124">
        <v>108.7</v>
      </c>
      <c r="L113" s="124">
        <v>122</v>
      </c>
      <c r="M113" s="124">
        <v>111.6</v>
      </c>
      <c r="N113" s="124">
        <v>100</v>
      </c>
      <c r="O113" s="124">
        <v>92.2</v>
      </c>
      <c r="P113" s="124">
        <v>99.7</v>
      </c>
      <c r="Q113" s="124">
        <v>99.2</v>
      </c>
      <c r="R113" s="124">
        <v>77.099999999999994</v>
      </c>
      <c r="S113" s="124">
        <v>74.8</v>
      </c>
      <c r="T113" s="124">
        <v>111</v>
      </c>
      <c r="U113" s="124">
        <v>119</v>
      </c>
      <c r="V113" s="124">
        <v>109</v>
      </c>
      <c r="W113" s="124">
        <v>104.9</v>
      </c>
      <c r="X113" s="124">
        <v>114.5</v>
      </c>
      <c r="Y113" s="124">
        <v>107.3</v>
      </c>
      <c r="Z113" s="124">
        <v>108</v>
      </c>
      <c r="AA113" s="124">
        <v>101</v>
      </c>
      <c r="AB113" s="124">
        <v>92.5</v>
      </c>
      <c r="AC113" s="124">
        <v>103</v>
      </c>
      <c r="AD113" s="124">
        <v>92.1</v>
      </c>
      <c r="AE113" s="124">
        <v>88.9</v>
      </c>
      <c r="AF113" s="124">
        <v>78.7</v>
      </c>
      <c r="AG113" s="125">
        <v>120</v>
      </c>
      <c r="AH113" s="52">
        <f t="shared" si="17"/>
        <v>122</v>
      </c>
      <c r="AI113" s="53">
        <f t="shared" si="18"/>
        <v>74.8</v>
      </c>
    </row>
    <row r="114" spans="1:37" x14ac:dyDescent="0.25">
      <c r="A114" s="123" t="s">
        <v>122</v>
      </c>
      <c r="B114" s="124">
        <v>90</v>
      </c>
      <c r="C114" s="124">
        <v>102</v>
      </c>
      <c r="D114" s="124">
        <v>102</v>
      </c>
      <c r="E114" s="124">
        <v>93</v>
      </c>
      <c r="F114" s="124">
        <v>95</v>
      </c>
      <c r="G114" s="124">
        <v>101.5</v>
      </c>
      <c r="H114" s="124">
        <v>101.5</v>
      </c>
      <c r="I114" s="124">
        <v>101.5</v>
      </c>
      <c r="J114" s="124">
        <v>95</v>
      </c>
      <c r="K114" s="124">
        <v>95</v>
      </c>
      <c r="L114" s="124">
        <v>94</v>
      </c>
      <c r="M114" s="124">
        <v>82.2</v>
      </c>
      <c r="N114" s="124">
        <v>98.8</v>
      </c>
      <c r="O114" s="124">
        <v>96.5</v>
      </c>
      <c r="P114" s="124">
        <v>94.5</v>
      </c>
      <c r="Q114" s="124">
        <v>94.8</v>
      </c>
      <c r="R114" s="124">
        <v>114.3</v>
      </c>
      <c r="S114" s="124">
        <v>103</v>
      </c>
      <c r="T114" s="124">
        <v>91</v>
      </c>
      <c r="U114" s="124">
        <v>112</v>
      </c>
      <c r="V114" s="124">
        <v>104</v>
      </c>
      <c r="W114" s="124">
        <v>100.3</v>
      </c>
      <c r="X114" s="124">
        <v>84</v>
      </c>
      <c r="Y114" s="124">
        <v>86</v>
      </c>
      <c r="Z114" s="124">
        <v>96</v>
      </c>
      <c r="AA114" s="124">
        <v>96</v>
      </c>
      <c r="AB114" s="124">
        <v>101</v>
      </c>
      <c r="AC114" s="124">
        <v>94</v>
      </c>
      <c r="AD114" s="124">
        <v>98</v>
      </c>
      <c r="AE114" s="124">
        <v>98.4</v>
      </c>
      <c r="AF114" s="124">
        <v>90.5</v>
      </c>
      <c r="AG114" s="125"/>
      <c r="AH114" s="52">
        <f t="shared" si="17"/>
        <v>114.3</v>
      </c>
      <c r="AI114" s="53">
        <f t="shared" si="18"/>
        <v>82.2</v>
      </c>
    </row>
    <row r="115" spans="1:37" x14ac:dyDescent="0.25">
      <c r="A115" s="123" t="s">
        <v>123</v>
      </c>
      <c r="B115" s="124">
        <v>91</v>
      </c>
      <c r="C115" s="124">
        <v>94</v>
      </c>
      <c r="D115" s="124">
        <v>93</v>
      </c>
      <c r="E115" s="124">
        <v>90</v>
      </c>
      <c r="F115" s="124">
        <v>90</v>
      </c>
      <c r="G115" s="124">
        <v>88</v>
      </c>
      <c r="H115" s="124">
        <v>88</v>
      </c>
      <c r="I115" s="124">
        <v>88</v>
      </c>
      <c r="J115" s="124">
        <v>80</v>
      </c>
      <c r="K115" s="124">
        <v>80</v>
      </c>
      <c r="L115" s="124">
        <v>48.4</v>
      </c>
      <c r="M115" s="124">
        <v>39</v>
      </c>
      <c r="N115" s="124">
        <v>48</v>
      </c>
      <c r="O115" s="124">
        <v>29.8</v>
      </c>
      <c r="P115" s="124">
        <v>24.5</v>
      </c>
      <c r="Q115" s="124">
        <v>21.3</v>
      </c>
      <c r="R115" s="124">
        <v>21</v>
      </c>
      <c r="S115" s="124">
        <v>23</v>
      </c>
      <c r="T115" s="124">
        <v>33.6</v>
      </c>
      <c r="U115" s="124">
        <v>32.5</v>
      </c>
      <c r="V115" s="124">
        <v>37</v>
      </c>
      <c r="W115" s="124">
        <v>33.799999999999997</v>
      </c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6"/>
      <c r="AH115" s="52">
        <f t="shared" si="17"/>
        <v>94</v>
      </c>
      <c r="AI115" s="53">
        <f t="shared" si="18"/>
        <v>21</v>
      </c>
    </row>
    <row r="116" spans="1:37" x14ac:dyDescent="0.25">
      <c r="A116" s="127" t="s">
        <v>124</v>
      </c>
      <c r="B116" s="113">
        <v>4</v>
      </c>
      <c r="C116" s="113">
        <v>2</v>
      </c>
      <c r="D116" s="113">
        <v>3</v>
      </c>
      <c r="E116" s="113">
        <v>3</v>
      </c>
      <c r="F116" s="113">
        <v>3</v>
      </c>
      <c r="G116" s="113">
        <v>3</v>
      </c>
      <c r="H116" s="113">
        <v>3</v>
      </c>
      <c r="I116" s="113">
        <v>3</v>
      </c>
      <c r="J116" s="113">
        <v>3</v>
      </c>
      <c r="K116" s="113">
        <v>-6.1</v>
      </c>
      <c r="L116" s="113">
        <v>-15.8</v>
      </c>
      <c r="M116" s="113">
        <v>-19.5</v>
      </c>
      <c r="N116" s="113">
        <v>-18.399999999999999</v>
      </c>
      <c r="O116" s="113">
        <v>-24.5</v>
      </c>
      <c r="P116" s="113">
        <v>-23.1</v>
      </c>
      <c r="Q116" s="113">
        <v>-18.600000000000001</v>
      </c>
      <c r="R116" s="113">
        <v>-13.8</v>
      </c>
      <c r="S116" s="113">
        <v>-17</v>
      </c>
      <c r="T116" s="113">
        <v>-17.5</v>
      </c>
      <c r="U116" s="113">
        <v>-18</v>
      </c>
      <c r="V116" s="113">
        <v>-22</v>
      </c>
      <c r="W116" s="113">
        <v>-22.7</v>
      </c>
      <c r="X116" s="113">
        <v>-27</v>
      </c>
      <c r="Y116" s="113">
        <v>-32</v>
      </c>
      <c r="Z116" s="113">
        <v>-37</v>
      </c>
      <c r="AA116" s="113">
        <v>-14</v>
      </c>
      <c r="AB116" s="113">
        <v>-22.4</v>
      </c>
      <c r="AC116" s="113">
        <v>-20</v>
      </c>
      <c r="AD116" s="113">
        <v>-18.7</v>
      </c>
      <c r="AE116" s="113">
        <v>-13.1</v>
      </c>
      <c r="AF116" s="113">
        <v>-11.9</v>
      </c>
      <c r="AG116" s="126"/>
      <c r="AH116" s="52">
        <f t="shared" si="17"/>
        <v>4</v>
      </c>
      <c r="AI116" s="53">
        <f t="shared" si="18"/>
        <v>-37</v>
      </c>
    </row>
    <row r="117" spans="1:37" ht="15.75" thickBot="1" x14ac:dyDescent="0.3">
      <c r="A117" s="127" t="s">
        <v>125</v>
      </c>
      <c r="B117" s="113">
        <v>85</v>
      </c>
      <c r="C117" s="113">
        <v>80</v>
      </c>
      <c r="D117" s="113">
        <v>73</v>
      </c>
      <c r="E117" s="113">
        <v>73</v>
      </c>
      <c r="F117" s="113">
        <v>73</v>
      </c>
      <c r="G117" s="113">
        <v>73</v>
      </c>
      <c r="H117" s="113">
        <v>73</v>
      </c>
      <c r="I117" s="113">
        <v>73</v>
      </c>
      <c r="J117" s="113">
        <v>82.3</v>
      </c>
      <c r="K117" s="113">
        <v>82.3</v>
      </c>
      <c r="L117" s="113">
        <v>96.7</v>
      </c>
      <c r="M117" s="113">
        <v>94.4</v>
      </c>
      <c r="N117" s="113">
        <v>98.5</v>
      </c>
      <c r="O117" s="113">
        <v>99.3</v>
      </c>
      <c r="P117" s="113">
        <v>107.7</v>
      </c>
      <c r="Q117" s="113">
        <v>100.2</v>
      </c>
      <c r="R117" s="113">
        <v>101.4</v>
      </c>
      <c r="S117" s="113">
        <v>101</v>
      </c>
      <c r="T117" s="113">
        <v>100</v>
      </c>
      <c r="U117" s="113">
        <v>93</v>
      </c>
      <c r="V117" s="113">
        <v>88</v>
      </c>
      <c r="W117" s="113">
        <v>86</v>
      </c>
      <c r="X117" s="113">
        <v>74</v>
      </c>
      <c r="Y117" s="113">
        <v>98</v>
      </c>
      <c r="Z117" s="113">
        <v>104</v>
      </c>
      <c r="AA117" s="113">
        <v>96</v>
      </c>
      <c r="AB117" s="113">
        <v>97.5</v>
      </c>
      <c r="AC117" s="113">
        <v>93.5</v>
      </c>
      <c r="AD117" s="113">
        <v>91</v>
      </c>
      <c r="AE117" s="113">
        <v>87.9</v>
      </c>
      <c r="AF117" s="113">
        <v>88.9</v>
      </c>
      <c r="AG117" s="126"/>
      <c r="AH117" s="52">
        <f t="shared" si="17"/>
        <v>107.7</v>
      </c>
      <c r="AI117" s="53">
        <f t="shared" si="18"/>
        <v>73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38">SUM(B119:B223)</f>
        <v>0</v>
      </c>
      <c r="C224" s="144">
        <f t="shared" si="38"/>
        <v>0</v>
      </c>
      <c r="D224" s="144">
        <f t="shared" si="38"/>
        <v>0</v>
      </c>
      <c r="E224" s="144">
        <f t="shared" si="38"/>
        <v>0</v>
      </c>
      <c r="F224" s="144">
        <f t="shared" si="38"/>
        <v>0</v>
      </c>
      <c r="G224" s="144">
        <f t="shared" si="38"/>
        <v>0</v>
      </c>
      <c r="H224" s="144">
        <f t="shared" si="38"/>
        <v>0</v>
      </c>
      <c r="I224" s="144">
        <f t="shared" si="38"/>
        <v>0</v>
      </c>
      <c r="J224" s="144">
        <f t="shared" si="38"/>
        <v>0</v>
      </c>
      <c r="K224" s="144">
        <f t="shared" si="38"/>
        <v>0</v>
      </c>
      <c r="L224" s="144">
        <f t="shared" si="38"/>
        <v>0</v>
      </c>
      <c r="M224" s="144">
        <f t="shared" si="38"/>
        <v>0</v>
      </c>
      <c r="N224" s="144">
        <f t="shared" si="38"/>
        <v>0</v>
      </c>
      <c r="O224" s="144">
        <f t="shared" si="38"/>
        <v>0</v>
      </c>
      <c r="P224" s="144">
        <f t="shared" si="38"/>
        <v>0</v>
      </c>
      <c r="Q224" s="144">
        <f t="shared" si="38"/>
        <v>0</v>
      </c>
      <c r="R224" s="144">
        <f t="shared" si="38"/>
        <v>0</v>
      </c>
      <c r="S224" s="144">
        <f t="shared" si="38"/>
        <v>0</v>
      </c>
      <c r="T224" s="144">
        <f t="shared" si="38"/>
        <v>0</v>
      </c>
      <c r="U224" s="144">
        <f t="shared" si="38"/>
        <v>0</v>
      </c>
      <c r="V224" s="144">
        <f t="shared" si="38"/>
        <v>0</v>
      </c>
      <c r="W224" s="144">
        <f t="shared" si="38"/>
        <v>0</v>
      </c>
      <c r="X224" s="144">
        <f t="shared" si="38"/>
        <v>0</v>
      </c>
      <c r="Y224" s="144">
        <f t="shared" si="38"/>
        <v>0</v>
      </c>
      <c r="Z224" s="144">
        <f t="shared" si="38"/>
        <v>0</v>
      </c>
      <c r="AA224" s="144">
        <f t="shared" si="38"/>
        <v>0</v>
      </c>
      <c r="AB224" s="144">
        <f t="shared" si="38"/>
        <v>0</v>
      </c>
      <c r="AC224" s="144">
        <f t="shared" si="38"/>
        <v>0</v>
      </c>
      <c r="AD224" s="144">
        <f t="shared" si="38"/>
        <v>0</v>
      </c>
      <c r="AE224" s="144">
        <f t="shared" si="38"/>
        <v>0</v>
      </c>
      <c r="AF224" s="145">
        <f t="shared" si="38"/>
        <v>0</v>
      </c>
      <c r="AG224" s="146">
        <f t="shared" si="38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39">AF226</f>
        <v>0</v>
      </c>
      <c r="C226" s="149">
        <v>0.3</v>
      </c>
      <c r="D226" s="149">
        <f t="shared" ref="D226:P231" si="40">C226</f>
        <v>0.3</v>
      </c>
      <c r="E226" s="149">
        <f t="shared" si="40"/>
        <v>0.3</v>
      </c>
      <c r="F226" s="149">
        <f t="shared" si="40"/>
        <v>0.3</v>
      </c>
      <c r="G226" s="149">
        <f t="shared" si="40"/>
        <v>0.3</v>
      </c>
      <c r="H226" s="149">
        <f t="shared" si="40"/>
        <v>0.3</v>
      </c>
      <c r="I226" s="149">
        <f t="shared" si="40"/>
        <v>0.3</v>
      </c>
      <c r="J226" s="149">
        <f t="shared" si="40"/>
        <v>0.3</v>
      </c>
      <c r="K226" s="149">
        <f t="shared" si="40"/>
        <v>0.3</v>
      </c>
      <c r="L226" s="149">
        <f t="shared" si="40"/>
        <v>0.3</v>
      </c>
      <c r="M226" s="149">
        <f t="shared" si="40"/>
        <v>0.3</v>
      </c>
      <c r="N226" s="149">
        <f t="shared" si="40"/>
        <v>0.3</v>
      </c>
      <c r="O226" s="149">
        <f t="shared" si="40"/>
        <v>0.3</v>
      </c>
      <c r="P226" s="149">
        <f t="shared" si="40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39"/>
        <v>0</v>
      </c>
      <c r="C227" s="136">
        <v>0.4</v>
      </c>
      <c r="D227" s="136">
        <f t="shared" si="40"/>
        <v>0.4</v>
      </c>
      <c r="E227" s="136">
        <f t="shared" si="40"/>
        <v>0.4</v>
      </c>
      <c r="F227" s="136">
        <f t="shared" si="40"/>
        <v>0.4</v>
      </c>
      <c r="G227" s="136">
        <f t="shared" si="40"/>
        <v>0.4</v>
      </c>
      <c r="H227" s="136">
        <f t="shared" si="40"/>
        <v>0.4</v>
      </c>
      <c r="I227" s="136">
        <f t="shared" si="40"/>
        <v>0.4</v>
      </c>
      <c r="J227" s="136">
        <f t="shared" si="40"/>
        <v>0.4</v>
      </c>
      <c r="K227" s="136">
        <f t="shared" si="40"/>
        <v>0.4</v>
      </c>
      <c r="L227" s="136">
        <f t="shared" si="40"/>
        <v>0.4</v>
      </c>
      <c r="M227" s="136">
        <f t="shared" si="40"/>
        <v>0.4</v>
      </c>
      <c r="N227" s="136">
        <f t="shared" si="40"/>
        <v>0.4</v>
      </c>
      <c r="O227" s="136">
        <f t="shared" si="40"/>
        <v>0.4</v>
      </c>
      <c r="P227" s="136">
        <f t="shared" si="40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39"/>
        <v>0</v>
      </c>
      <c r="C228" s="136">
        <v>1.5</v>
      </c>
      <c r="D228" s="136">
        <f t="shared" si="40"/>
        <v>1.5</v>
      </c>
      <c r="E228" s="136">
        <f t="shared" si="40"/>
        <v>1.5</v>
      </c>
      <c r="F228" s="136">
        <f t="shared" si="40"/>
        <v>1.5</v>
      </c>
      <c r="G228" s="136">
        <f t="shared" si="40"/>
        <v>1.5</v>
      </c>
      <c r="H228" s="136">
        <f t="shared" si="40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40"/>
        <v>1.5</v>
      </c>
      <c r="K228" s="136">
        <f t="shared" ca="1" si="40"/>
        <v>1.5</v>
      </c>
      <c r="L228" s="136">
        <f t="shared" ca="1" si="40"/>
        <v>1.5</v>
      </c>
      <c r="M228" s="136">
        <f t="shared" ca="1" si="40"/>
        <v>1.5</v>
      </c>
      <c r="N228" s="136">
        <f t="shared" ca="1" si="40"/>
        <v>1.5</v>
      </c>
      <c r="O228" s="136">
        <f t="shared" ca="1" si="40"/>
        <v>1.5</v>
      </c>
      <c r="P228" s="136">
        <f t="shared" ca="1" si="40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39"/>
        <v>0</v>
      </c>
      <c r="C229" s="136">
        <v>0.3</v>
      </c>
      <c r="D229" s="136">
        <f t="shared" si="40"/>
        <v>0.3</v>
      </c>
      <c r="E229" s="136">
        <f t="shared" si="40"/>
        <v>0.3</v>
      </c>
      <c r="F229" s="136">
        <f t="shared" si="40"/>
        <v>0.3</v>
      </c>
      <c r="G229" s="136">
        <f t="shared" si="40"/>
        <v>0.3</v>
      </c>
      <c r="H229" s="136">
        <f t="shared" si="40"/>
        <v>0.3</v>
      </c>
      <c r="I229" s="136">
        <f t="shared" si="40"/>
        <v>0.3</v>
      </c>
      <c r="J229" s="136">
        <f t="shared" si="40"/>
        <v>0.3</v>
      </c>
      <c r="K229" s="136">
        <f t="shared" si="40"/>
        <v>0.3</v>
      </c>
      <c r="L229" s="136">
        <f t="shared" si="40"/>
        <v>0.3</v>
      </c>
      <c r="M229" s="136">
        <f t="shared" si="40"/>
        <v>0.3</v>
      </c>
      <c r="N229" s="136">
        <f t="shared" si="40"/>
        <v>0.3</v>
      </c>
      <c r="O229" s="136">
        <f t="shared" si="40"/>
        <v>0.3</v>
      </c>
      <c r="P229" s="136">
        <f t="shared" si="40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39"/>
        <v>0</v>
      </c>
      <c r="C230" s="136">
        <v>0.4</v>
      </c>
      <c r="D230" s="136">
        <f t="shared" si="40"/>
        <v>0.4</v>
      </c>
      <c r="E230" s="136">
        <f t="shared" si="40"/>
        <v>0.4</v>
      </c>
      <c r="F230" s="136">
        <f t="shared" si="40"/>
        <v>0.4</v>
      </c>
      <c r="G230" s="136">
        <f t="shared" si="40"/>
        <v>0.4</v>
      </c>
      <c r="H230" s="136">
        <f t="shared" si="40"/>
        <v>0.4</v>
      </c>
      <c r="I230" s="136">
        <f t="shared" si="40"/>
        <v>0.4</v>
      </c>
      <c r="J230" s="136">
        <f t="shared" si="40"/>
        <v>0.4</v>
      </c>
      <c r="K230" s="136">
        <f t="shared" si="40"/>
        <v>0.4</v>
      </c>
      <c r="L230" s="136">
        <f t="shared" si="40"/>
        <v>0.4</v>
      </c>
      <c r="M230" s="136">
        <f t="shared" si="40"/>
        <v>0.4</v>
      </c>
      <c r="N230" s="136">
        <f t="shared" si="40"/>
        <v>0.4</v>
      </c>
      <c r="O230" s="136">
        <f t="shared" si="40"/>
        <v>0.4</v>
      </c>
      <c r="P230" s="136">
        <f t="shared" si="40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39"/>
        <v>0</v>
      </c>
      <c r="C231" s="140">
        <v>0.64</v>
      </c>
      <c r="D231" s="140">
        <f t="shared" si="40"/>
        <v>0.64</v>
      </c>
      <c r="E231" s="140">
        <f t="shared" si="40"/>
        <v>0.64</v>
      </c>
      <c r="F231" s="140">
        <f t="shared" si="40"/>
        <v>0.64</v>
      </c>
      <c r="G231" s="140">
        <f t="shared" si="40"/>
        <v>0.64</v>
      </c>
      <c r="H231" s="140">
        <f t="shared" si="40"/>
        <v>0.64</v>
      </c>
      <c r="I231" s="140">
        <f t="shared" si="40"/>
        <v>0.64</v>
      </c>
      <c r="J231" s="140">
        <f t="shared" si="40"/>
        <v>0.64</v>
      </c>
      <c r="K231" s="140">
        <f t="shared" si="40"/>
        <v>0.64</v>
      </c>
      <c r="L231" s="140">
        <f t="shared" si="40"/>
        <v>0.64</v>
      </c>
      <c r="M231" s="140">
        <f t="shared" si="40"/>
        <v>0.64</v>
      </c>
      <c r="N231" s="140">
        <f t="shared" si="40"/>
        <v>0.64</v>
      </c>
      <c r="O231" s="140">
        <f t="shared" si="40"/>
        <v>0.64</v>
      </c>
      <c r="P231" s="140">
        <f t="shared" si="40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41">SUM(B226:B231)</f>
        <v>0</v>
      </c>
      <c r="C232" s="144">
        <f t="shared" si="41"/>
        <v>3.54</v>
      </c>
      <c r="D232" s="144">
        <f t="shared" si="41"/>
        <v>3.54</v>
      </c>
      <c r="E232" s="144">
        <f t="shared" si="41"/>
        <v>3.54</v>
      </c>
      <c r="F232" s="144">
        <f t="shared" si="41"/>
        <v>3.54</v>
      </c>
      <c r="G232" s="144">
        <f t="shared" si="41"/>
        <v>3.54</v>
      </c>
      <c r="H232" s="144">
        <f t="shared" si="41"/>
        <v>3.54</v>
      </c>
      <c r="I232" s="144">
        <f t="shared" ca="1" si="41"/>
        <v>3.54</v>
      </c>
      <c r="J232" s="144">
        <f t="shared" ca="1" si="41"/>
        <v>3.54</v>
      </c>
      <c r="K232" s="144">
        <f t="shared" ca="1" si="41"/>
        <v>3.54</v>
      </c>
      <c r="L232" s="144">
        <f t="shared" ca="1" si="41"/>
        <v>3.54</v>
      </c>
      <c r="M232" s="144">
        <f t="shared" ca="1" si="41"/>
        <v>3.54</v>
      </c>
      <c r="N232" s="144">
        <f t="shared" ca="1" si="41"/>
        <v>3.54</v>
      </c>
      <c r="O232" s="144">
        <f t="shared" ca="1" si="41"/>
        <v>3.54</v>
      </c>
      <c r="P232" s="144">
        <f t="shared" ca="1" si="41"/>
        <v>3.54</v>
      </c>
      <c r="Q232" s="144">
        <f t="shared" si="41"/>
        <v>0</v>
      </c>
      <c r="R232" s="144">
        <f t="shared" si="41"/>
        <v>0</v>
      </c>
      <c r="S232" s="144">
        <f t="shared" si="41"/>
        <v>0</v>
      </c>
      <c r="T232" s="144">
        <f t="shared" si="41"/>
        <v>0</v>
      </c>
      <c r="U232" s="144">
        <f t="shared" si="41"/>
        <v>0</v>
      </c>
      <c r="V232" s="144">
        <f t="shared" si="41"/>
        <v>0</v>
      </c>
      <c r="W232" s="144">
        <f t="shared" si="41"/>
        <v>0</v>
      </c>
      <c r="X232" s="144">
        <f t="shared" si="41"/>
        <v>0</v>
      </c>
      <c r="Y232" s="144">
        <f t="shared" si="41"/>
        <v>0</v>
      </c>
      <c r="Z232" s="144">
        <f t="shared" si="41"/>
        <v>0</v>
      </c>
      <c r="AA232" s="144">
        <f t="shared" si="41"/>
        <v>0</v>
      </c>
      <c r="AB232" s="144">
        <f t="shared" si="41"/>
        <v>0</v>
      </c>
      <c r="AC232" s="144">
        <f t="shared" si="41"/>
        <v>0</v>
      </c>
      <c r="AD232" s="144">
        <f t="shared" si="41"/>
        <v>0</v>
      </c>
      <c r="AE232" s="144">
        <f t="shared" si="41"/>
        <v>0</v>
      </c>
      <c r="AF232" s="144">
        <f t="shared" si="41"/>
        <v>0</v>
      </c>
      <c r="AG232" s="154">
        <f t="shared" si="41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1397.04</v>
      </c>
      <c r="C241" s="170">
        <f>INDEX(G9:N9,1,MATCH(MAX(G89:N89),G89:N89,0))</f>
        <v>0.375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17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2079/12/17)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2079/12/17)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42">B89</f>
        <v>1309.1399999999999</v>
      </c>
      <c r="U246" s="180">
        <f t="shared" si="42"/>
        <v>1212.8400000000001</v>
      </c>
      <c r="V246" s="180">
        <f t="shared" si="42"/>
        <v>1166.8400000000001</v>
      </c>
      <c r="W246" s="180">
        <f t="shared" si="42"/>
        <v>1154.8400000000001</v>
      </c>
      <c r="X246" s="180">
        <f t="shared" si="42"/>
        <v>1162.8400000000001</v>
      </c>
      <c r="Y246" s="180">
        <f t="shared" si="42"/>
        <v>1174.8400000000001</v>
      </c>
      <c r="Z246" s="180">
        <f t="shared" si="42"/>
        <v>1169.1399999999999</v>
      </c>
      <c r="AA246" s="180">
        <f t="shared" si="42"/>
        <v>1165.1399999999999</v>
      </c>
      <c r="AB246" s="180">
        <f t="shared" si="42"/>
        <v>1182.1399999999999</v>
      </c>
      <c r="AC246" s="180">
        <f t="shared" si="42"/>
        <v>1279.8400000000001</v>
      </c>
      <c r="AD246" s="180">
        <f t="shared" si="42"/>
        <v>1314.8400000000001</v>
      </c>
      <c r="AE246" s="180">
        <f t="shared" si="42"/>
        <v>1381.2399999999998</v>
      </c>
      <c r="AF246" s="180">
        <f t="shared" si="42"/>
        <v>1397.04</v>
      </c>
      <c r="AG246" s="180">
        <f t="shared" si="42"/>
        <v>1416.54</v>
      </c>
      <c r="AH246" s="180">
        <f t="shared" si="42"/>
        <v>1433.1399999999999</v>
      </c>
      <c r="AI246" s="180">
        <f t="shared" si="42"/>
        <v>1434.84</v>
      </c>
      <c r="AJ246" s="180">
        <f t="shared" si="42"/>
        <v>1383.54</v>
      </c>
      <c r="AK246" s="180">
        <f t="shared" si="42"/>
        <v>1411.04</v>
      </c>
      <c r="AL246" s="180">
        <f t="shared" si="42"/>
        <v>1406.7399999999998</v>
      </c>
      <c r="AM246" s="180">
        <f t="shared" si="42"/>
        <v>1356.1399999999999</v>
      </c>
      <c r="AN246" s="180">
        <f t="shared" si="42"/>
        <v>1352.24</v>
      </c>
      <c r="AO246" s="180">
        <f t="shared" si="42"/>
        <v>1338.6399999999999</v>
      </c>
      <c r="AP246" s="180">
        <f t="shared" si="42"/>
        <v>1381.7399999999998</v>
      </c>
      <c r="AQ246" s="180">
        <f t="shared" si="42"/>
        <v>1345.34</v>
      </c>
      <c r="AR246" s="180">
        <f t="shared" si="42"/>
        <v>1445.74</v>
      </c>
      <c r="AS246" s="180">
        <f t="shared" si="42"/>
        <v>1489.1399999999999</v>
      </c>
      <c r="AT246" s="180">
        <f t="shared" si="42"/>
        <v>1457.1399999999999</v>
      </c>
      <c r="AU246" s="180">
        <f t="shared" si="42"/>
        <v>1368.44</v>
      </c>
      <c r="AV246" s="180">
        <f t="shared" si="42"/>
        <v>1341.44</v>
      </c>
      <c r="AW246" s="180">
        <f t="shared" si="42"/>
        <v>1280.0400000000002</v>
      </c>
      <c r="AX246" s="180">
        <f t="shared" si="42"/>
        <v>1234.94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43">C231</f>
        <v>0.64</v>
      </c>
      <c r="C267" s="183">
        <f t="shared" si="43"/>
        <v>0.64</v>
      </c>
      <c r="D267" s="183">
        <f t="shared" si="43"/>
        <v>0.64</v>
      </c>
      <c r="E267" s="183">
        <f t="shared" si="43"/>
        <v>0.64</v>
      </c>
      <c r="F267" s="183">
        <f t="shared" si="43"/>
        <v>0.64</v>
      </c>
      <c r="G267" s="183">
        <f t="shared" si="43"/>
        <v>0.64</v>
      </c>
      <c r="H267" s="183">
        <f t="shared" si="43"/>
        <v>0.64</v>
      </c>
      <c r="I267" s="183">
        <f t="shared" si="43"/>
        <v>0.64</v>
      </c>
      <c r="J267" s="183">
        <f t="shared" si="43"/>
        <v>0.64</v>
      </c>
      <c r="K267" s="183">
        <f t="shared" si="43"/>
        <v>0.64</v>
      </c>
      <c r="L267" s="183">
        <f t="shared" si="43"/>
        <v>0.64</v>
      </c>
      <c r="M267" s="183">
        <f t="shared" si="43"/>
        <v>0.64</v>
      </c>
      <c r="N267" s="183">
        <f t="shared" si="43"/>
        <v>0.64</v>
      </c>
      <c r="O267" s="183">
        <f t="shared" si="43"/>
        <v>0.64</v>
      </c>
      <c r="P267" s="183">
        <f t="shared" si="43"/>
        <v>0</v>
      </c>
      <c r="Q267" s="183">
        <f t="shared" si="43"/>
        <v>0</v>
      </c>
      <c r="R267" s="183">
        <f t="shared" si="43"/>
        <v>0</v>
      </c>
      <c r="S267" s="183">
        <f t="shared" si="43"/>
        <v>0</v>
      </c>
      <c r="T267" s="183">
        <f t="shared" si="43"/>
        <v>0</v>
      </c>
      <c r="U267" s="183">
        <f t="shared" si="43"/>
        <v>0</v>
      </c>
      <c r="V267" s="183">
        <f t="shared" si="43"/>
        <v>0</v>
      </c>
      <c r="W267" s="183">
        <f t="shared" si="43"/>
        <v>0</v>
      </c>
      <c r="X267" s="183">
        <f t="shared" si="43"/>
        <v>0</v>
      </c>
      <c r="Y267" s="183">
        <f t="shared" si="43"/>
        <v>0</v>
      </c>
      <c r="Z267" s="183">
        <f t="shared" si="43"/>
        <v>0</v>
      </c>
      <c r="AA267" s="183">
        <f t="shared" si="43"/>
        <v>0</v>
      </c>
      <c r="AB267" s="183">
        <f t="shared" si="43"/>
        <v>0</v>
      </c>
      <c r="AC267" s="183">
        <f t="shared" si="43"/>
        <v>0</v>
      </c>
      <c r="AD267" s="183">
        <f t="shared" si="43"/>
        <v>0</v>
      </c>
      <c r="AE267" s="183">
        <f t="shared" si="43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44">IF(B235&lt;100,"",B235-520)</f>
        <v/>
      </c>
      <c r="C268" s="184" t="str">
        <f t="shared" si="44"/>
        <v/>
      </c>
      <c r="D268" s="184" t="str">
        <f t="shared" si="44"/>
        <v/>
      </c>
      <c r="E268" s="184" t="str">
        <f t="shared" si="44"/>
        <v/>
      </c>
      <c r="F268" s="184" t="str">
        <f t="shared" si="44"/>
        <v/>
      </c>
      <c r="G268" s="184" t="str">
        <f t="shared" si="44"/>
        <v/>
      </c>
      <c r="H268" s="184" t="str">
        <f t="shared" si="44"/>
        <v/>
      </c>
      <c r="I268" s="184" t="str">
        <f t="shared" si="44"/>
        <v/>
      </c>
      <c r="J268" s="184" t="str">
        <f t="shared" si="44"/>
        <v/>
      </c>
      <c r="K268" s="184" t="str">
        <f t="shared" si="44"/>
        <v/>
      </c>
      <c r="L268" s="184" t="str">
        <f t="shared" si="44"/>
        <v/>
      </c>
      <c r="M268" s="184" t="str">
        <f t="shared" si="44"/>
        <v/>
      </c>
      <c r="N268" s="184" t="str">
        <f t="shared" si="44"/>
        <v/>
      </c>
      <c r="O268" s="184" t="str">
        <f t="shared" si="44"/>
        <v/>
      </c>
      <c r="P268" s="184" t="str">
        <f t="shared" si="44"/>
        <v/>
      </c>
      <c r="Q268" s="184" t="str">
        <f t="shared" si="44"/>
        <v/>
      </c>
      <c r="R268" s="184" t="str">
        <f t="shared" si="44"/>
        <v/>
      </c>
      <c r="S268" s="184" t="str">
        <f t="shared" si="44"/>
        <v/>
      </c>
      <c r="T268" s="184" t="str">
        <f t="shared" si="44"/>
        <v/>
      </c>
      <c r="U268" s="184" t="str">
        <f t="shared" si="44"/>
        <v/>
      </c>
      <c r="V268" s="184" t="str">
        <f t="shared" si="44"/>
        <v/>
      </c>
      <c r="W268" s="184" t="str">
        <f t="shared" si="44"/>
        <v/>
      </c>
      <c r="X268" s="184" t="str">
        <f t="shared" si="44"/>
        <v/>
      </c>
      <c r="Y268" s="184" t="str">
        <f t="shared" si="44"/>
        <v/>
      </c>
      <c r="Z268" s="184" t="str">
        <f t="shared" si="44"/>
        <v/>
      </c>
      <c r="AA268" s="184" t="str">
        <f t="shared" si="44"/>
        <v/>
      </c>
      <c r="AB268" s="184" t="str">
        <f t="shared" si="44"/>
        <v/>
      </c>
      <c r="AC268" s="184" t="str">
        <f t="shared" si="44"/>
        <v/>
      </c>
      <c r="AD268" s="184" t="str">
        <f t="shared" si="44"/>
        <v/>
      </c>
      <c r="AE268" s="184" t="str">
        <f t="shared" si="44"/>
        <v/>
      </c>
      <c r="AF268" s="184" t="str">
        <f t="shared" si="44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45">IF(B236&lt;100,"",B236-620)</f>
        <v/>
      </c>
      <c r="C269" s="184" t="str">
        <f t="shared" si="45"/>
        <v/>
      </c>
      <c r="D269" s="184" t="str">
        <f t="shared" si="45"/>
        <v/>
      </c>
      <c r="E269" s="184" t="str">
        <f t="shared" si="45"/>
        <v/>
      </c>
      <c r="F269" s="184" t="str">
        <f t="shared" si="45"/>
        <v/>
      </c>
      <c r="G269" s="184" t="str">
        <f t="shared" si="45"/>
        <v/>
      </c>
      <c r="H269" s="184" t="str">
        <f t="shared" si="45"/>
        <v/>
      </c>
      <c r="I269" s="184" t="str">
        <f t="shared" si="45"/>
        <v/>
      </c>
      <c r="J269" s="184" t="str">
        <f t="shared" si="45"/>
        <v/>
      </c>
      <c r="K269" s="184" t="str">
        <f t="shared" si="45"/>
        <v/>
      </c>
      <c r="L269" s="184" t="str">
        <f t="shared" si="45"/>
        <v/>
      </c>
      <c r="M269" s="184" t="str">
        <f t="shared" si="45"/>
        <v/>
      </c>
      <c r="N269" s="184" t="str">
        <f t="shared" si="45"/>
        <v/>
      </c>
      <c r="O269" s="184" t="str">
        <f t="shared" si="45"/>
        <v/>
      </c>
      <c r="P269" s="184" t="str">
        <f t="shared" si="45"/>
        <v/>
      </c>
      <c r="Q269" s="184" t="str">
        <f t="shared" si="45"/>
        <v/>
      </c>
      <c r="R269" s="184" t="str">
        <f t="shared" si="45"/>
        <v/>
      </c>
      <c r="S269" s="184" t="str">
        <f t="shared" si="45"/>
        <v/>
      </c>
      <c r="T269" s="184" t="str">
        <f t="shared" si="45"/>
        <v/>
      </c>
      <c r="U269" s="184" t="str">
        <f t="shared" si="45"/>
        <v/>
      </c>
      <c r="V269" s="184" t="str">
        <f t="shared" si="45"/>
        <v/>
      </c>
      <c r="W269" s="184" t="str">
        <f t="shared" si="45"/>
        <v/>
      </c>
      <c r="X269" s="184" t="str">
        <f t="shared" si="45"/>
        <v/>
      </c>
      <c r="Y269" s="184" t="str">
        <f t="shared" si="45"/>
        <v/>
      </c>
      <c r="Z269" s="184" t="str">
        <f t="shared" si="45"/>
        <v/>
      </c>
      <c r="AA269" s="184" t="str">
        <f t="shared" si="45"/>
        <v/>
      </c>
      <c r="AB269" s="184" t="str">
        <f t="shared" si="45"/>
        <v/>
      </c>
      <c r="AC269" s="184" t="str">
        <f t="shared" si="45"/>
        <v/>
      </c>
      <c r="AD269" s="184" t="str">
        <f t="shared" si="45"/>
        <v/>
      </c>
      <c r="AE269" s="184" t="str">
        <f t="shared" si="45"/>
        <v/>
      </c>
      <c r="AF269" s="184" t="str">
        <f t="shared" si="45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46">IF(B237&lt;100,"",B237-330)</f>
        <v/>
      </c>
      <c r="C270" s="184" t="str">
        <f t="shared" si="46"/>
        <v/>
      </c>
      <c r="D270" s="184" t="str">
        <f t="shared" si="46"/>
        <v/>
      </c>
      <c r="E270" s="184" t="str">
        <f t="shared" si="46"/>
        <v/>
      </c>
      <c r="F270" s="184" t="str">
        <f t="shared" si="46"/>
        <v/>
      </c>
      <c r="G270" s="184" t="str">
        <f t="shared" si="46"/>
        <v/>
      </c>
      <c r="H270" s="184" t="str">
        <f t="shared" si="46"/>
        <v/>
      </c>
      <c r="I270" s="184" t="str">
        <f t="shared" si="46"/>
        <v/>
      </c>
      <c r="J270" s="184" t="str">
        <f t="shared" si="46"/>
        <v/>
      </c>
      <c r="K270" s="184" t="str">
        <f t="shared" si="46"/>
        <v/>
      </c>
      <c r="L270" s="184" t="str">
        <f t="shared" si="46"/>
        <v/>
      </c>
      <c r="M270" s="184" t="str">
        <f t="shared" si="46"/>
        <v/>
      </c>
      <c r="N270" s="184" t="str">
        <f t="shared" si="46"/>
        <v/>
      </c>
      <c r="O270" s="184" t="str">
        <f t="shared" si="46"/>
        <v/>
      </c>
      <c r="P270" s="184" t="str">
        <f t="shared" si="46"/>
        <v/>
      </c>
      <c r="Q270" s="184" t="str">
        <f t="shared" si="46"/>
        <v/>
      </c>
      <c r="R270" s="184" t="str">
        <f t="shared" si="46"/>
        <v/>
      </c>
      <c r="S270" s="184" t="str">
        <f t="shared" si="46"/>
        <v/>
      </c>
      <c r="T270" s="184" t="str">
        <f t="shared" si="46"/>
        <v/>
      </c>
      <c r="U270" s="184" t="str">
        <f t="shared" si="46"/>
        <v/>
      </c>
      <c r="V270" s="184" t="str">
        <f t="shared" si="46"/>
        <v/>
      </c>
      <c r="W270" s="184" t="str">
        <f t="shared" si="46"/>
        <v/>
      </c>
      <c r="X270" s="184" t="str">
        <f t="shared" si="46"/>
        <v/>
      </c>
      <c r="Y270" s="184" t="str">
        <f t="shared" si="46"/>
        <v/>
      </c>
      <c r="Z270" s="184" t="str">
        <f t="shared" si="46"/>
        <v/>
      </c>
      <c r="AA270" s="184" t="str">
        <f t="shared" si="46"/>
        <v/>
      </c>
      <c r="AB270" s="184" t="str">
        <f t="shared" si="46"/>
        <v/>
      </c>
      <c r="AC270" s="184" t="str">
        <f t="shared" si="46"/>
        <v/>
      </c>
      <c r="AD270" s="184" t="str">
        <f t="shared" si="46"/>
        <v/>
      </c>
      <c r="AE270" s="184" t="str">
        <f t="shared" si="46"/>
        <v/>
      </c>
      <c r="AF270" s="184" t="str">
        <f t="shared" si="46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47">IF(B238&lt;100,"",B238-1500)</f>
        <v/>
      </c>
      <c r="C271" s="184" t="str">
        <f t="shared" si="47"/>
        <v/>
      </c>
      <c r="D271" s="184" t="str">
        <f t="shared" si="47"/>
        <v/>
      </c>
      <c r="E271" s="184" t="str">
        <f t="shared" si="47"/>
        <v/>
      </c>
      <c r="F271" s="184" t="str">
        <f t="shared" si="47"/>
        <v/>
      </c>
      <c r="G271" s="184" t="str">
        <f t="shared" si="47"/>
        <v/>
      </c>
      <c r="H271" s="184" t="str">
        <f t="shared" si="47"/>
        <v/>
      </c>
      <c r="I271" s="184" t="str">
        <f t="shared" si="47"/>
        <v/>
      </c>
      <c r="J271" s="184" t="str">
        <f t="shared" si="47"/>
        <v/>
      </c>
      <c r="K271" s="184" t="str">
        <f t="shared" si="47"/>
        <v/>
      </c>
      <c r="L271" s="184" t="str">
        <f t="shared" si="47"/>
        <v/>
      </c>
      <c r="M271" s="184" t="str">
        <f t="shared" si="47"/>
        <v/>
      </c>
      <c r="N271" s="184" t="str">
        <f t="shared" si="47"/>
        <v/>
      </c>
      <c r="O271" s="184" t="str">
        <f t="shared" si="47"/>
        <v/>
      </c>
      <c r="P271" s="184" t="str">
        <f t="shared" si="47"/>
        <v/>
      </c>
      <c r="Q271" s="184" t="str">
        <f t="shared" si="47"/>
        <v/>
      </c>
      <c r="R271" s="184" t="str">
        <f t="shared" si="47"/>
        <v/>
      </c>
      <c r="S271" s="184" t="str">
        <f t="shared" si="47"/>
        <v/>
      </c>
      <c r="T271" s="184" t="str">
        <f t="shared" si="47"/>
        <v/>
      </c>
      <c r="U271" s="184" t="str">
        <f t="shared" si="47"/>
        <v/>
      </c>
      <c r="V271" s="184" t="str">
        <f t="shared" si="47"/>
        <v/>
      </c>
      <c r="W271" s="184" t="str">
        <f t="shared" si="47"/>
        <v/>
      </c>
      <c r="X271" s="184" t="str">
        <f t="shared" si="47"/>
        <v/>
      </c>
      <c r="Y271" s="184" t="str">
        <f t="shared" si="47"/>
        <v/>
      </c>
      <c r="Z271" s="184" t="str">
        <f t="shared" si="47"/>
        <v/>
      </c>
      <c r="AA271" s="184" t="str">
        <f t="shared" si="47"/>
        <v/>
      </c>
      <c r="AB271" s="184" t="str">
        <f t="shared" si="47"/>
        <v/>
      </c>
      <c r="AC271" s="184" t="str">
        <f t="shared" si="47"/>
        <v/>
      </c>
      <c r="AD271" s="184" t="str">
        <f t="shared" si="47"/>
        <v/>
      </c>
      <c r="AE271" s="184" t="str">
        <f t="shared" si="47"/>
        <v/>
      </c>
      <c r="AF271" s="184" t="str">
        <f t="shared" si="47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4159" priority="339">
      <formula>B$9&gt;=20/24</formula>
    </cfRule>
    <cfRule type="expression" dxfId="4158" priority="340">
      <formula>AND(B$9&gt;=14/24,B$9&lt;20/24)</formula>
    </cfRule>
    <cfRule type="expression" dxfId="4157" priority="341">
      <formula>AND(B$9&gt;=8/24,B$9&lt;14/24)</formula>
    </cfRule>
    <cfRule type="expression" dxfId="4156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4155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4154" priority="336">
      <formula>$AH12=0</formula>
    </cfRule>
  </conditionalFormatting>
  <conditionalFormatting sqref="A114">
    <cfRule type="expression" dxfId="4153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4152" priority="333">
      <formula>$AH45=0</formula>
    </cfRule>
  </conditionalFormatting>
  <conditionalFormatting sqref="A98">
    <cfRule type="expression" dxfId="4151" priority="332">
      <formula>$AH98=0</formula>
    </cfRule>
  </conditionalFormatting>
  <conditionalFormatting sqref="A18">
    <cfRule type="expression" dxfId="4150" priority="331">
      <formula>$AH18=0</formula>
    </cfRule>
  </conditionalFormatting>
  <conditionalFormatting sqref="A196:A201">
    <cfRule type="expression" dxfId="4149" priority="330">
      <formula>$AH196=0</formula>
    </cfRule>
  </conditionalFormatting>
  <conditionalFormatting sqref="A190:A195">
    <cfRule type="expression" dxfId="4148" priority="329">
      <formula>$AH190=0</formula>
    </cfRule>
  </conditionalFormatting>
  <conditionalFormatting sqref="A58">
    <cfRule type="expression" dxfId="4147" priority="328">
      <formula>$AH58=0</formula>
    </cfRule>
  </conditionalFormatting>
  <conditionalFormatting sqref="A94">
    <cfRule type="expression" dxfId="4146" priority="327">
      <formula>$AH94=0</formula>
    </cfRule>
  </conditionalFormatting>
  <conditionalFormatting sqref="M99:X99 AC99:AF99">
    <cfRule type="expression" dxfId="4145" priority="323">
      <formula>M$9&gt;=20/24</formula>
    </cfRule>
    <cfRule type="expression" dxfId="4144" priority="324">
      <formula>AND(M$9&gt;=14/24,M$9&lt;20/24)</formula>
    </cfRule>
    <cfRule type="expression" dxfId="4143" priority="325">
      <formula>AND(M$9&gt;=8/24,M$9&lt;14/24)</formula>
    </cfRule>
    <cfRule type="expression" dxfId="4142" priority="326">
      <formula>M$9&lt;8/24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141" priority="345">
      <formula>C$9&gt;=20/24</formula>
    </cfRule>
    <cfRule type="expression" dxfId="4140" priority="346">
      <formula>AND(C$9&gt;=14/24,C$9&lt;20/24)</formula>
    </cfRule>
    <cfRule type="expression" dxfId="4139" priority="347">
      <formula>AND(C$9&gt;=8/24,C$9&lt;14/24)</formula>
    </cfRule>
    <cfRule type="expression" dxfId="4138" priority="348">
      <formula>C$9&lt;8/24</formula>
    </cfRule>
  </conditionalFormatting>
  <conditionalFormatting sqref="A233">
    <cfRule type="expression" dxfId="4137" priority="349">
      <formula>$AH233=0</formula>
    </cfRule>
  </conditionalFormatting>
  <conditionalFormatting sqref="AG245">
    <cfRule type="expression" dxfId="4136" priority="350">
      <formula>B$9&gt;=20/24</formula>
    </cfRule>
    <cfRule type="expression" dxfId="4135" priority="351">
      <formula>AND(B$9&gt;=14/24,B$9&lt;20/24)</formula>
    </cfRule>
    <cfRule type="expression" dxfId="4134" priority="352">
      <formula>AND(B$9&gt;=8/24,B$9&lt;14/24)</formula>
    </cfRule>
    <cfRule type="expression" dxfId="4133" priority="353">
      <formula>B$9&lt;8/24</formula>
    </cfRule>
  </conditionalFormatting>
  <conditionalFormatting sqref="S8">
    <cfRule type="expression" dxfId="4132" priority="318">
      <formula>U$9&gt;=20/24</formula>
    </cfRule>
    <cfRule type="expression" dxfId="4131" priority="319">
      <formula>AND(U$9&gt;=14/24,U$9&lt;20/24)</formula>
    </cfRule>
    <cfRule type="expression" dxfId="4130" priority="320">
      <formula>AND(U$9&gt;=8/24,U$9&lt;14/24)</formula>
    </cfRule>
    <cfRule type="expression" dxfId="4129" priority="321">
      <formula>U$9&lt;8/24</formula>
    </cfRule>
  </conditionalFormatting>
  <conditionalFormatting sqref="AB8">
    <cfRule type="expression" dxfId="4128" priority="314">
      <formula>AD$9&gt;=20/24</formula>
    </cfRule>
    <cfRule type="expression" dxfId="4127" priority="315">
      <formula>AND(AD$9&gt;=14/24,AD$9&lt;20/24)</formula>
    </cfRule>
    <cfRule type="expression" dxfId="4126" priority="316">
      <formula>AND(AD$9&gt;=8/24,AD$9&lt;14/24)</formula>
    </cfRule>
    <cfRule type="expression" dxfId="4125" priority="317">
      <formula>AD$9&lt;8/24</formula>
    </cfRule>
  </conditionalFormatting>
  <conditionalFormatting sqref="AH245:AX245">
    <cfRule type="expression" dxfId="4124" priority="354">
      <formula>AG$9&gt;=20/24</formula>
    </cfRule>
    <cfRule type="expression" dxfId="4123" priority="355">
      <formula>AND(AG$9&gt;=14/24,AG$9&lt;20/24)</formula>
    </cfRule>
    <cfRule type="expression" dxfId="4122" priority="356">
      <formula>AND(AG$9&gt;=8/24,AG$9&lt;14/24)</formula>
    </cfRule>
    <cfRule type="expression" dxfId="4121" priority="357">
      <formula>AG$9&lt;8/24</formula>
    </cfRule>
  </conditionalFormatting>
  <conditionalFormatting sqref="T245">
    <cfRule type="expression" dxfId="4120" priority="358">
      <formula>AX$9&gt;=20/24</formula>
    </cfRule>
    <cfRule type="expression" dxfId="4119" priority="359">
      <formula>AND(AX$9&gt;=14/24,AX$9&lt;20/24)</formula>
    </cfRule>
    <cfRule type="expression" dxfId="4118" priority="360">
      <formula>AND(AX$9&gt;=8/24,AX$9&lt;14/24)</formula>
    </cfRule>
    <cfRule type="expression" dxfId="4117" priority="361">
      <formula>AX$9&lt;8/24</formula>
    </cfRule>
  </conditionalFormatting>
  <conditionalFormatting sqref="A115:A116">
    <cfRule type="expression" dxfId="4116" priority="313">
      <formula>$AH115=0</formula>
    </cfRule>
  </conditionalFormatting>
  <conditionalFormatting sqref="M54:Q57 R56:V57 M71:AF71 AB54:AF57">
    <cfRule type="expression" dxfId="4115" priority="309">
      <formula>M$9&gt;=20/24</formula>
    </cfRule>
    <cfRule type="expression" dxfId="4114" priority="310">
      <formula>AND(M$9&gt;=14/24,M$9&lt;20/24)</formula>
    </cfRule>
    <cfRule type="expression" dxfId="4113" priority="311">
      <formula>AND(M$9&gt;=8/24,M$9&lt;14/24)</formula>
    </cfRule>
    <cfRule type="expression" dxfId="4112" priority="312">
      <formula>M$9&lt;8/24</formula>
    </cfRule>
  </conditionalFormatting>
  <conditionalFormatting sqref="M53:Q53 AB53:AF53">
    <cfRule type="expression" dxfId="4111" priority="305">
      <formula>M$9&gt;=20/24</formula>
    </cfRule>
    <cfRule type="expression" dxfId="4110" priority="306">
      <formula>AND(M$9&gt;=14/24,M$9&lt;20/24)</formula>
    </cfRule>
    <cfRule type="expression" dxfId="4109" priority="307">
      <formula>AND(M$9&gt;=8/24,M$9&lt;14/24)</formula>
    </cfRule>
    <cfRule type="expression" dxfId="4108" priority="308">
      <formula>M$9&lt;8/24</formula>
    </cfRule>
  </conditionalFormatting>
  <conditionalFormatting sqref="M53:Q57 R56:V57 AB53:AF57">
    <cfRule type="expression" dxfId="4107" priority="304">
      <formula>M53&gt;$AG53</formula>
    </cfRule>
  </conditionalFormatting>
  <conditionalFormatting sqref="M100:X106 M72:AA73 X96:AF96 D86:AF86 AC100:AF106 Y67:AF69 AB72:AF74 X47:AF47">
    <cfRule type="expression" dxfId="4106" priority="300">
      <formula>D$9&gt;=20/24</formula>
    </cfRule>
    <cfRule type="expression" dxfId="4105" priority="301">
      <formula>AND(D$9&gt;=14/24,D$9&lt;20/24)</formula>
    </cfRule>
    <cfRule type="expression" dxfId="4104" priority="302">
      <formula>AND(D$9&gt;=8/24,D$9&lt;14/24)</formula>
    </cfRule>
    <cfRule type="expression" dxfId="4103" priority="303">
      <formula>D$9&lt;8/24</formula>
    </cfRule>
  </conditionalFormatting>
  <conditionalFormatting sqref="Y67:AF69 X47:AF47">
    <cfRule type="expression" dxfId="4102" priority="299">
      <formula>X47&gt;$AG47</formula>
    </cfRule>
  </conditionalFormatting>
  <conditionalFormatting sqref="R53:V55 W53:AA58">
    <cfRule type="expression" dxfId="4101" priority="295">
      <formula>R$9&gt;=20/24</formula>
    </cfRule>
    <cfRule type="expression" dxfId="4100" priority="296">
      <formula>AND(R$9&gt;=14/24,R$9&lt;20/24)</formula>
    </cfRule>
    <cfRule type="expression" dxfId="4099" priority="297">
      <formula>AND(R$9&gt;=8/24,R$9&lt;14/24)</formula>
    </cfRule>
    <cfRule type="expression" dxfId="4098" priority="298">
      <formula>R$9&lt;8/24</formula>
    </cfRule>
  </conditionalFormatting>
  <conditionalFormatting sqref="R53:V55 W53:AA58">
    <cfRule type="expression" dxfId="4097" priority="294">
      <formula>R53&gt;$AG53</formula>
    </cfRule>
  </conditionalFormatting>
  <conditionalFormatting sqref="C97:AF97 D88:AF88">
    <cfRule type="expression" dxfId="4096" priority="290">
      <formula>C$9&gt;=20/24</formula>
    </cfRule>
    <cfRule type="expression" dxfId="4095" priority="291">
      <formula>AND(C$9&gt;=14/24,C$9&lt;20/24)</formula>
    </cfRule>
    <cfRule type="expression" dxfId="4094" priority="292">
      <formula>AND(C$9&gt;=8/24,C$9&lt;14/24)</formula>
    </cfRule>
    <cfRule type="expression" dxfId="4093" priority="293">
      <formula>C$9&lt;8/24</formula>
    </cfRule>
  </conditionalFormatting>
  <conditionalFormatting sqref="T47:W47">
    <cfRule type="expression" dxfId="4092" priority="286">
      <formula>T$9&gt;=20/24</formula>
    </cfRule>
    <cfRule type="expression" dxfId="4091" priority="287">
      <formula>AND(T$9&gt;=14/24,T$9&lt;20/24)</formula>
    </cfRule>
    <cfRule type="expression" dxfId="4090" priority="288">
      <formula>AND(T$9&gt;=8/24,T$9&lt;14/24)</formula>
    </cfRule>
    <cfRule type="expression" dxfId="4089" priority="289">
      <formula>T$9&lt;8/24</formula>
    </cfRule>
  </conditionalFormatting>
  <conditionalFormatting sqref="T47:W47">
    <cfRule type="expression" dxfId="4088" priority="285">
      <formula>T47&gt;$AG47</formula>
    </cfRule>
  </conditionalFormatting>
  <conditionalFormatting sqref="AG70 AG87 Q67:X69">
    <cfRule type="expression" dxfId="4087" priority="272">
      <formula>Q$9&gt;=20/24</formula>
    </cfRule>
    <cfRule type="expression" dxfId="4086" priority="273">
      <formula>AND(Q$9&gt;=14/24,Q$9&lt;20/24)</formula>
    </cfRule>
    <cfRule type="expression" dxfId="4085" priority="274">
      <formula>AND(Q$9&gt;=8/24,Q$9&lt;14/24)</formula>
    </cfRule>
    <cfRule type="expression" dxfId="4084" priority="275">
      <formula>Q$9&lt;8/24</formula>
    </cfRule>
  </conditionalFormatting>
  <conditionalFormatting sqref="AG48 AG66 AG70 Q67:X69">
    <cfRule type="expression" dxfId="4083" priority="271">
      <formula>Q48&gt;$AG48</formula>
    </cfRule>
  </conditionalFormatting>
  <conditionalFormatting sqref="AB58:AF58">
    <cfRule type="expression" dxfId="4082" priority="267">
      <formula>AB$9&gt;=20/24</formula>
    </cfRule>
    <cfRule type="expression" dxfId="4081" priority="268">
      <formula>AND(AB$9&gt;=14/24,AB$9&lt;20/24)</formula>
    </cfRule>
    <cfRule type="expression" dxfId="4080" priority="269">
      <formula>AND(AB$9&gt;=8/24,AB$9&lt;14/24)</formula>
    </cfRule>
    <cfRule type="expression" dxfId="4079" priority="270">
      <formula>AB$9&lt;8/24</formula>
    </cfRule>
  </conditionalFormatting>
  <conditionalFormatting sqref="AB58:AF58">
    <cfRule type="expression" dxfId="4078" priority="266">
      <formula>AB58&gt;$AG58</formula>
    </cfRule>
  </conditionalFormatting>
  <conditionalFormatting sqref="A43">
    <cfRule type="expression" dxfId="4077" priority="265">
      <formula>$AH43=0</formula>
    </cfRule>
  </conditionalFormatting>
  <conditionalFormatting sqref="X91:AF95">
    <cfRule type="expression" dxfId="4076" priority="261">
      <formula>X$9&gt;=20/24</formula>
    </cfRule>
    <cfRule type="expression" dxfId="4075" priority="262">
      <formula>AND(X$9&gt;=14/24,X$9&lt;20/24)</formula>
    </cfRule>
    <cfRule type="expression" dxfId="4074" priority="263">
      <formula>AND(X$9&gt;=8/24,X$9&lt;14/24)</formula>
    </cfRule>
    <cfRule type="expression" dxfId="4073" priority="264">
      <formula>X$9&lt;8/24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M49:AF51">
    <cfRule type="expression" dxfId="4072" priority="257">
      <formula>M$9&gt;=20/24</formula>
    </cfRule>
    <cfRule type="expression" dxfId="4071" priority="258">
      <formula>AND(M$9&gt;=14/24,M$9&lt;20/24)</formula>
    </cfRule>
    <cfRule type="expression" dxfId="4070" priority="259">
      <formula>AND(M$9&gt;=8/24,M$9&lt;14/24)</formula>
    </cfRule>
    <cfRule type="expression" dxfId="4069" priority="260">
      <formula>M$9&lt;8/24</formula>
    </cfRule>
  </conditionalFormatting>
  <conditionalFormatting sqref="M49:AF51">
    <cfRule type="expression" dxfId="4068" priority="256">
      <formula>M49&gt;$AG49</formula>
    </cfRule>
  </conditionalFormatting>
  <conditionalFormatting sqref="AG52">
    <cfRule type="expression" dxfId="4067" priority="252">
      <formula>AG$9&gt;=20/24</formula>
    </cfRule>
    <cfRule type="expression" dxfId="4066" priority="253">
      <formula>AND(AG$9&gt;=14/24,AG$9&lt;20/24)</formula>
    </cfRule>
    <cfRule type="expression" dxfId="4065" priority="254">
      <formula>AND(AG$9&gt;=8/24,AG$9&lt;14/24)</formula>
    </cfRule>
    <cfRule type="expression" dxfId="4064" priority="255">
      <formula>AG$9&lt;8/24</formula>
    </cfRule>
  </conditionalFormatting>
  <conditionalFormatting sqref="AG52">
    <cfRule type="expression" dxfId="4063" priority="251">
      <formula>AG52&gt;$AG52</formula>
    </cfRule>
  </conditionalFormatting>
  <conditionalFormatting sqref="C107:AF107">
    <cfRule type="expression" dxfId="4062" priority="247">
      <formula>C$9&gt;=20/24</formula>
    </cfRule>
    <cfRule type="expression" dxfId="4061" priority="248">
      <formula>AND(C$9&gt;=14/24,C$9&lt;20/24)</formula>
    </cfRule>
    <cfRule type="expression" dxfId="4060" priority="249">
      <formula>AND(C$9&gt;=8/24,C$9&lt;14/24)</formula>
    </cfRule>
    <cfRule type="expression" dxfId="4059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4058" priority="245">
      <formula>$AH40=0</formula>
    </cfRule>
  </conditionalFormatting>
  <conditionalFormatting sqref="A90">
    <cfRule type="expression" dxfId="4057" priority="243">
      <formula>$AH90=0</formula>
    </cfRule>
  </conditionalFormatting>
  <conditionalFormatting sqref="A87">
    <cfRule type="expression" dxfId="4056" priority="244">
      <formula>$AH87=0</formula>
    </cfRule>
  </conditionalFormatting>
  <conditionalFormatting sqref="D110:AF110">
    <cfRule type="expression" dxfId="4055" priority="239">
      <formula>D$9&gt;=20/24</formula>
    </cfRule>
    <cfRule type="expression" dxfId="4054" priority="240">
      <formula>AND(D$9&gt;=14/24,D$9&lt;20/24)</formula>
    </cfRule>
    <cfRule type="expression" dxfId="4053" priority="241">
      <formula>AND(D$9&gt;=8/24,D$9&lt;14/24)</formula>
    </cfRule>
    <cfRule type="expression" dxfId="4052" priority="242">
      <formula>D$9&lt;8/24</formula>
    </cfRule>
  </conditionalFormatting>
  <conditionalFormatting sqref="A110">
    <cfRule type="expression" dxfId="4051" priority="238">
      <formula>$AH110=0</formula>
    </cfRule>
  </conditionalFormatting>
  <conditionalFormatting sqref="A21">
    <cfRule type="expression" dxfId="4050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049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B99">
    <cfRule type="expression" dxfId="4048" priority="230">
      <formula>Y$9&gt;=20/24</formula>
    </cfRule>
    <cfRule type="expression" dxfId="4047" priority="231">
      <formula>AND(Y$9&gt;=14/24,Y$9&lt;20/24)</formula>
    </cfRule>
    <cfRule type="expression" dxfId="4046" priority="232">
      <formula>AND(Y$9&gt;=8/24,Y$9&lt;14/24)</formula>
    </cfRule>
    <cfRule type="expression" dxfId="4045" priority="233">
      <formula>Y$9&lt;8/24</formula>
    </cfRule>
  </conditionalFormatting>
  <conditionalFormatting sqref="Y100:AB106">
    <cfRule type="expression" dxfId="4044" priority="226">
      <formula>Y$9&gt;=20/24</formula>
    </cfRule>
    <cfRule type="expression" dxfId="4043" priority="227">
      <formula>AND(Y$9&gt;=14/24,Y$9&lt;20/24)</formula>
    </cfRule>
    <cfRule type="expression" dxfId="4042" priority="228">
      <formula>AND(Y$9&gt;=8/24,Y$9&lt;14/24)</formula>
    </cfRule>
    <cfRule type="expression" dxfId="4041" priority="229">
      <formula>Y$9&lt;8/24</formula>
    </cfRule>
  </conditionalFormatting>
  <conditionalFormatting sqref="C109 C111:C116">
    <cfRule type="expression" dxfId="4040" priority="222">
      <formula>C$9&gt;=20/24</formula>
    </cfRule>
    <cfRule type="expression" dxfId="4039" priority="223">
      <formula>AND(C$9&gt;=14/24,C$9&lt;20/24)</formula>
    </cfRule>
    <cfRule type="expression" dxfId="4038" priority="224">
      <formula>AND(C$9&gt;=8/24,C$9&lt;14/24)</formula>
    </cfRule>
    <cfRule type="expression" dxfId="4037" priority="225">
      <formula>C$9&lt;8/24</formula>
    </cfRule>
  </conditionalFormatting>
  <conditionalFormatting sqref="C47:S47">
    <cfRule type="expression" dxfId="4036" priority="218">
      <formula>C$9&gt;=20/24</formula>
    </cfRule>
    <cfRule type="expression" dxfId="4035" priority="219">
      <formula>AND(C$9&gt;=14/24,C$9&lt;20/24)</formula>
    </cfRule>
    <cfRule type="expression" dxfId="4034" priority="220">
      <formula>AND(C$9&gt;=8/24,C$9&lt;14/24)</formula>
    </cfRule>
    <cfRule type="expression" dxfId="4033" priority="221">
      <formula>C$9&lt;8/24</formula>
    </cfRule>
  </conditionalFormatting>
  <conditionalFormatting sqref="C47:S47">
    <cfRule type="expression" dxfId="4032" priority="217">
      <formula>C47&gt;$AG47</formula>
    </cfRule>
  </conditionalFormatting>
  <conditionalFormatting sqref="C99:L99">
    <cfRule type="expression" dxfId="4031" priority="213">
      <formula>C$9&gt;=20/24</formula>
    </cfRule>
    <cfRule type="expression" dxfId="4030" priority="214">
      <formula>AND(C$9&gt;=14/24,C$9&lt;20/24)</formula>
    </cfRule>
    <cfRule type="expression" dxfId="4029" priority="215">
      <formula>AND(C$9&gt;=8/24,C$9&lt;14/24)</formula>
    </cfRule>
    <cfRule type="expression" dxfId="4028" priority="216">
      <formula>C$9&lt;8/24</formula>
    </cfRule>
  </conditionalFormatting>
  <conditionalFormatting sqref="C86 C96:W96 D100:L101 N67:P69 M74:AA76 C83:AF85 AB75:AF76">
    <cfRule type="expression" dxfId="4027" priority="209">
      <formula>C$9&gt;=20/24</formula>
    </cfRule>
    <cfRule type="expression" dxfId="4026" priority="210">
      <formula>AND(C$9&gt;=14/24,C$9&lt;20/24)</formula>
    </cfRule>
    <cfRule type="expression" dxfId="4025" priority="211">
      <formula>AND(C$9&gt;=8/24,C$9&lt;14/24)</formula>
    </cfRule>
    <cfRule type="expression" dxfId="4024" priority="212">
      <formula>C$9&lt;8/24</formula>
    </cfRule>
  </conditionalFormatting>
  <conditionalFormatting sqref="N67:P69">
    <cfRule type="expression" dxfId="4023" priority="208">
      <formula>N67&gt;$AG67</formula>
    </cfRule>
  </conditionalFormatting>
  <conditionalFormatting sqref="B54:L57 B71:L71">
    <cfRule type="expression" dxfId="4022" priority="132">
      <formula>B$9&gt;=20/24</formula>
    </cfRule>
    <cfRule type="expression" dxfId="4021" priority="133">
      <formula>AND(B$9&gt;=14/24,B$9&lt;20/24)</formula>
    </cfRule>
    <cfRule type="expression" dxfId="4020" priority="134">
      <formula>AND(B$9&gt;=8/24,B$9&lt;14/24)</formula>
    </cfRule>
    <cfRule type="expression" dxfId="4019" priority="135">
      <formula>B$9&lt;8/24</formula>
    </cfRule>
  </conditionalFormatting>
  <conditionalFormatting sqref="C87:AF87 C89:AF89 C98:AF98 C70:AF70">
    <cfRule type="expression" dxfId="4018" priority="199">
      <formula>C$9&gt;=20/24</formula>
    </cfRule>
    <cfRule type="expression" dxfId="4017" priority="200">
      <formula>AND(C$9&gt;=14/24,C$9&lt;20/24)</formula>
    </cfRule>
    <cfRule type="expression" dxfId="4016" priority="201">
      <formula>AND(C$9&gt;=8/24,C$9&lt;14/24)</formula>
    </cfRule>
    <cfRule type="expression" dxfId="4015" priority="202">
      <formula>C$9&lt;8/24</formula>
    </cfRule>
  </conditionalFormatting>
  <conditionalFormatting sqref="C70:AF70 C65:AF66">
    <cfRule type="expression" dxfId="4014" priority="198">
      <formula>C65&gt;$AG65</formula>
    </cfRule>
  </conditionalFormatting>
  <conditionalFormatting sqref="C82:AF82">
    <cfRule type="expression" dxfId="4013" priority="194">
      <formula>C$9&gt;=20/24</formula>
    </cfRule>
    <cfRule type="expression" dxfId="4012" priority="195">
      <formula>AND(C$9&gt;=14/24,C$9&lt;20/24)</formula>
    </cfRule>
    <cfRule type="expression" dxfId="4011" priority="196">
      <formula>AND(C$9&gt;=8/24,C$9&lt;14/24)</formula>
    </cfRule>
    <cfRule type="expression" dxfId="4010" priority="197">
      <formula>C$9&lt;8/24</formula>
    </cfRule>
  </conditionalFormatting>
  <conditionalFormatting sqref="C91:W95">
    <cfRule type="expression" dxfId="4009" priority="190">
      <formula>C$9&gt;=20/24</formula>
    </cfRule>
    <cfRule type="expression" dxfId="4008" priority="191">
      <formula>AND(C$9&gt;=14/24,C$9&lt;20/24)</formula>
    </cfRule>
    <cfRule type="expression" dxfId="4007" priority="192">
      <formula>AND(C$9&gt;=8/24,C$9&lt;14/24)</formula>
    </cfRule>
    <cfRule type="expression" dxfId="4006" priority="193">
      <formula>C$9&lt;8/24</formula>
    </cfRule>
  </conditionalFormatting>
  <conditionalFormatting sqref="C52:AF52">
    <cfRule type="expression" dxfId="4005" priority="186">
      <formula>C$9&gt;=20/24</formula>
    </cfRule>
    <cfRule type="expression" dxfId="4004" priority="187">
      <formula>AND(C$9&gt;=14/24,C$9&lt;20/24)</formula>
    </cfRule>
    <cfRule type="expression" dxfId="4003" priority="188">
      <formula>AND(C$9&gt;=8/24,C$9&lt;14/24)</formula>
    </cfRule>
    <cfRule type="expression" dxfId="4002" priority="189">
      <formula>C$9&lt;8/24</formula>
    </cfRule>
  </conditionalFormatting>
  <conditionalFormatting sqref="C52:AF52">
    <cfRule type="expression" dxfId="4001" priority="185">
      <formula>C52&gt;$AG52</formula>
    </cfRule>
  </conditionalFormatting>
  <conditionalFormatting sqref="B49:L51">
    <cfRule type="expression" dxfId="4000" priority="100">
      <formula>B$9&gt;=20/24</formula>
    </cfRule>
    <cfRule type="expression" dxfId="3999" priority="101">
      <formula>AND(B$9&gt;=14/24,B$9&lt;20/24)</formula>
    </cfRule>
    <cfRule type="expression" dxfId="3998" priority="102">
      <formula>AND(B$9&gt;=8/24,B$9&lt;14/24)</formula>
    </cfRule>
    <cfRule type="expression" dxfId="3997" priority="103">
      <formula>B$9&lt;8/24</formula>
    </cfRule>
  </conditionalFormatting>
  <conditionalFormatting sqref="C110">
    <cfRule type="expression" dxfId="3996" priority="177">
      <formula>C$9&gt;=20/24</formula>
    </cfRule>
    <cfRule type="expression" dxfId="3995" priority="178">
      <formula>AND(C$9&gt;=14/24,C$9&lt;20/24)</formula>
    </cfRule>
    <cfRule type="expression" dxfId="3994" priority="179">
      <formula>AND(C$9&gt;=8/24,C$9&lt;14/24)</formula>
    </cfRule>
    <cfRule type="expression" dxfId="3993" priority="180">
      <formula>C$9&lt;8/24</formula>
    </cfRule>
  </conditionalFormatting>
  <conditionalFormatting sqref="AA59:AF64">
    <cfRule type="expression" dxfId="3992" priority="173">
      <formula>AA$9&gt;=20/24</formula>
    </cfRule>
    <cfRule type="expression" dxfId="3991" priority="174">
      <formula>AND(AA$9&gt;=14/24,AA$9&lt;20/24)</formula>
    </cfRule>
    <cfRule type="expression" dxfId="3990" priority="175">
      <formula>AND(AA$9&gt;=8/24,AA$9&lt;14/24)</formula>
    </cfRule>
    <cfRule type="expression" dxfId="3989" priority="176">
      <formula>AA$9&lt;8/24</formula>
    </cfRule>
  </conditionalFormatting>
  <conditionalFormatting sqref="AA59:AF64">
    <cfRule type="expression" dxfId="3988" priority="172">
      <formula>AA59&gt;$AG59</formula>
    </cfRule>
  </conditionalFormatting>
  <conditionalFormatting sqref="AB77:AF81">
    <cfRule type="expression" dxfId="3987" priority="154">
      <formula>AB$9&gt;=20/24</formula>
    </cfRule>
    <cfRule type="expression" dxfId="3986" priority="155">
      <formula>AND(AB$9&gt;=14/24,AB$9&lt;20/24)</formula>
    </cfRule>
    <cfRule type="expression" dxfId="3985" priority="156">
      <formula>AND(AB$9&gt;=8/24,AB$9&lt;14/24)</formula>
    </cfRule>
    <cfRule type="expression" dxfId="3984" priority="157">
      <formula>AB$9&lt;8/24</formula>
    </cfRule>
  </conditionalFormatting>
  <conditionalFormatting sqref="AL78:AN78 AL84:AN84 AN79:AN80">
    <cfRule type="expression" dxfId="3983" priority="150">
      <formula>AL$9&gt;=20/24</formula>
    </cfRule>
    <cfRule type="expression" dxfId="3982" priority="151">
      <formula>AND(AL$9&gt;=14/24,AL$9&lt;20/24)</formula>
    </cfRule>
    <cfRule type="expression" dxfId="3981" priority="152">
      <formula>AND(AL$9&gt;=8/24,AL$9&lt;14/24)</formula>
    </cfRule>
    <cfRule type="expression" dxfId="3980" priority="153">
      <formula>AL$9&lt;8/24</formula>
    </cfRule>
  </conditionalFormatting>
  <conditionalFormatting sqref="AN81:AN82">
    <cfRule type="expression" dxfId="3979" priority="146">
      <formula>AN$9&gt;=20/24</formula>
    </cfRule>
    <cfRule type="expression" dxfId="3978" priority="147">
      <formula>AND(AN$9&gt;=14/24,AN$9&lt;20/24)</formula>
    </cfRule>
    <cfRule type="expression" dxfId="3977" priority="148">
      <formula>AND(AN$9&gt;=8/24,AN$9&lt;14/24)</formula>
    </cfRule>
    <cfRule type="expression" dxfId="3976" priority="149">
      <formula>AN$9&lt;8/24</formula>
    </cfRule>
  </conditionalFormatting>
  <conditionalFormatting sqref="AL79:AM83">
    <cfRule type="expression" dxfId="3975" priority="363">
      <formula>AJ$9&gt;=20/24</formula>
    </cfRule>
    <cfRule type="expression" dxfId="3974" priority="364">
      <formula>AND(AJ$9&gt;=14/24,AJ$9&lt;20/24)</formula>
    </cfRule>
    <cfRule type="expression" dxfId="3973" priority="365">
      <formula>AND(AJ$9&gt;=8/24,AJ$9&lt;14/24)</formula>
    </cfRule>
    <cfRule type="expression" dxfId="3972" priority="366">
      <formula>AJ$9&lt;8/24</formula>
    </cfRule>
  </conditionalFormatting>
  <conditionalFormatting sqref="A117">
    <cfRule type="expression" dxfId="3971" priority="145">
      <formula>$AH117=0</formula>
    </cfRule>
  </conditionalFormatting>
  <conditionalFormatting sqref="B109 B111:B116 B12:AF15 B17:AF32 B34:AF43 B45:AF45">
    <cfRule type="expression" dxfId="3970" priority="141">
      <formula>B$9&gt;=20/24</formula>
    </cfRule>
    <cfRule type="expression" dxfId="3969" priority="142">
      <formula>AND(B$9&gt;=14/24,B$9&lt;20/24)</formula>
    </cfRule>
    <cfRule type="expression" dxfId="3968" priority="143">
      <formula>AND(B$9&gt;=8/24,B$9&lt;14/24)</formula>
    </cfRule>
    <cfRule type="expression" dxfId="3967" priority="144">
      <formula>B$9&lt;8/24</formula>
    </cfRule>
  </conditionalFormatting>
  <conditionalFormatting sqref="B12:AF15 B17:AF32 B34:AF43 B45:AF45">
    <cfRule type="expression" dxfId="3966" priority="140">
      <formula>B12&gt;$AG12</formula>
    </cfRule>
  </conditionalFormatting>
  <conditionalFormatting sqref="B99">
    <cfRule type="expression" dxfId="3965" priority="136">
      <formula>B$9&gt;=20/24</formula>
    </cfRule>
    <cfRule type="expression" dxfId="3964" priority="137">
      <formula>AND(B$9&gt;=14/24,B$9&lt;20/24)</formula>
    </cfRule>
    <cfRule type="expression" dxfId="3963" priority="138">
      <formula>AND(B$9&gt;=8/24,B$9&lt;14/24)</formula>
    </cfRule>
    <cfRule type="expression" dxfId="3962" priority="139">
      <formula>B$9&lt;8/24</formula>
    </cfRule>
  </conditionalFormatting>
  <conditionalFormatting sqref="B53:L53">
    <cfRule type="expression" dxfId="3961" priority="128">
      <formula>B$9&gt;=20/24</formula>
    </cfRule>
    <cfRule type="expression" dxfId="3960" priority="129">
      <formula>AND(B$9&gt;=14/24,B$9&lt;20/24)</formula>
    </cfRule>
    <cfRule type="expression" dxfId="3959" priority="130">
      <formula>AND(B$9&gt;=8/24,B$9&lt;14/24)</formula>
    </cfRule>
    <cfRule type="expression" dxfId="3958" priority="131">
      <formula>B$9&lt;8/24</formula>
    </cfRule>
  </conditionalFormatting>
  <conditionalFormatting sqref="B53:L57">
    <cfRule type="expression" dxfId="3957" priority="127">
      <formula>B53&gt;$AG53</formula>
    </cfRule>
  </conditionalFormatting>
  <conditionalFormatting sqref="B96 B86 B47 B100:C106 B72:L74 D102:L106 B67:M69">
    <cfRule type="expression" dxfId="3956" priority="123">
      <formula>B$9&gt;=20/24</formula>
    </cfRule>
    <cfRule type="expression" dxfId="3955" priority="124">
      <formula>AND(B$9&gt;=14/24,B$9&lt;20/24)</formula>
    </cfRule>
    <cfRule type="expression" dxfId="3954" priority="125">
      <formula>AND(B$9&gt;=8/24,B$9&lt;14/24)</formula>
    </cfRule>
    <cfRule type="expression" dxfId="3953" priority="126">
      <formula>B$9&lt;8/24</formula>
    </cfRule>
  </conditionalFormatting>
  <conditionalFormatting sqref="B47 B67:M69">
    <cfRule type="expression" dxfId="3952" priority="122">
      <formula>B47&gt;$AG47</formula>
    </cfRule>
  </conditionalFormatting>
  <conditionalFormatting sqref="B97 B88:C88">
    <cfRule type="expression" dxfId="3951" priority="118">
      <formula>B$9&gt;=20/24</formula>
    </cfRule>
    <cfRule type="expression" dxfId="3950" priority="119">
      <formula>AND(B$9&gt;=14/24,B$9&lt;20/24)</formula>
    </cfRule>
    <cfRule type="expression" dxfId="3949" priority="120">
      <formula>AND(B$9&gt;=8/24,B$9&lt;14/24)</formula>
    </cfRule>
    <cfRule type="expression" dxfId="3948" priority="121">
      <formula>B$9&lt;8/24</formula>
    </cfRule>
  </conditionalFormatting>
  <conditionalFormatting sqref="B46:AF46">
    <cfRule type="expression" dxfId="3947" priority="114">
      <formula>B$9&gt;=20/24</formula>
    </cfRule>
    <cfRule type="expression" dxfId="3946" priority="115">
      <formula>AND(B$9&gt;=14/24,B$9&lt;20/24)</formula>
    </cfRule>
    <cfRule type="expression" dxfId="3945" priority="116">
      <formula>AND(B$9&gt;=8/24,B$9&lt;14/24)</formula>
    </cfRule>
    <cfRule type="expression" dxfId="3944" priority="117">
      <formula>B$9&lt;8/24</formula>
    </cfRule>
  </conditionalFormatting>
  <conditionalFormatting sqref="B46:AF46">
    <cfRule type="expression" dxfId="3943" priority="113">
      <formula>B46&gt;$AG46</formula>
    </cfRule>
  </conditionalFormatting>
  <conditionalFormatting sqref="B58:V58">
    <cfRule type="expression" dxfId="3942" priority="109">
      <formula>B$9&gt;=20/24</formula>
    </cfRule>
    <cfRule type="expression" dxfId="3941" priority="110">
      <formula>AND(B$9&gt;=14/24,B$9&lt;20/24)</formula>
    </cfRule>
    <cfRule type="expression" dxfId="3940" priority="111">
      <formula>AND(B$9&gt;=8/24,B$9&lt;14/24)</formula>
    </cfRule>
    <cfRule type="expression" dxfId="3939" priority="112">
      <formula>B$9&lt;8/24</formula>
    </cfRule>
  </conditionalFormatting>
  <conditionalFormatting sqref="B58:V58">
    <cfRule type="expression" dxfId="3938" priority="108">
      <formula>B58&gt;$AG58</formula>
    </cfRule>
  </conditionalFormatting>
  <conditionalFormatting sqref="B91:B95">
    <cfRule type="expression" dxfId="3937" priority="104">
      <formula>B$9&gt;=20/24</formula>
    </cfRule>
    <cfRule type="expression" dxfId="3936" priority="105">
      <formula>AND(B$9&gt;=14/24,B$9&lt;20/24)</formula>
    </cfRule>
    <cfRule type="expression" dxfId="3935" priority="106">
      <formula>AND(B$9&gt;=8/24,B$9&lt;14/24)</formula>
    </cfRule>
    <cfRule type="expression" dxfId="3934" priority="107">
      <formula>B$9&lt;8/24</formula>
    </cfRule>
  </conditionalFormatting>
  <conditionalFormatting sqref="B49:L51">
    <cfRule type="expression" dxfId="3933" priority="99">
      <formula>B49&gt;$AG49</formula>
    </cfRule>
  </conditionalFormatting>
  <conditionalFormatting sqref="B107">
    <cfRule type="expression" dxfId="3932" priority="95">
      <formula>B$9&gt;=20/24</formula>
    </cfRule>
    <cfRule type="expression" dxfId="3931" priority="96">
      <formula>AND(B$9&gt;=14/24,B$9&lt;20/24)</formula>
    </cfRule>
    <cfRule type="expression" dxfId="3930" priority="97">
      <formula>AND(B$9&gt;=8/24,B$9&lt;14/24)</formula>
    </cfRule>
    <cfRule type="expression" dxfId="3929" priority="98">
      <formula>B$9&lt;8/24</formula>
    </cfRule>
  </conditionalFormatting>
  <conditionalFormatting sqref="B110">
    <cfRule type="expression" dxfId="3928" priority="91">
      <formula>B$9&gt;=20/24</formula>
    </cfRule>
    <cfRule type="expression" dxfId="3927" priority="92">
      <formula>AND(B$9&gt;=14/24,B$9&lt;20/24)</formula>
    </cfRule>
    <cfRule type="expression" dxfId="3926" priority="93">
      <formula>AND(B$9&gt;=8/24,B$9&lt;14/24)</formula>
    </cfRule>
    <cfRule type="expression" dxfId="3925" priority="94">
      <formula>B$9&lt;8/24</formula>
    </cfRule>
  </conditionalFormatting>
  <conditionalFormatting sqref="B83:B85 B75:L76">
    <cfRule type="expression" dxfId="3924" priority="87">
      <formula>B$9&gt;=20/24</formula>
    </cfRule>
    <cfRule type="expression" dxfId="3923" priority="88">
      <formula>AND(B$9&gt;=14/24,B$9&lt;20/24)</formula>
    </cfRule>
    <cfRule type="expression" dxfId="3922" priority="89">
      <formula>AND(B$9&gt;=8/24,B$9&lt;14/24)</formula>
    </cfRule>
    <cfRule type="expression" dxfId="3921" priority="90">
      <formula>B$9&lt;8/24</formula>
    </cfRule>
  </conditionalFormatting>
  <conditionalFormatting sqref="B89 B98 B70 B87">
    <cfRule type="expression" dxfId="3920" priority="83">
      <formula>B$9&gt;=20/24</formula>
    </cfRule>
    <cfRule type="expression" dxfId="3919" priority="84">
      <formula>AND(B$9&gt;=14/24,B$9&lt;20/24)</formula>
    </cfRule>
    <cfRule type="expression" dxfId="3918" priority="85">
      <formula>AND(B$9&gt;=8/24,B$9&lt;14/24)</formula>
    </cfRule>
    <cfRule type="expression" dxfId="3917" priority="86">
      <formula>B$9&lt;8/24</formula>
    </cfRule>
  </conditionalFormatting>
  <conditionalFormatting sqref="B65:B66 B70 B48:AF48">
    <cfRule type="expression" dxfId="3916" priority="82">
      <formula>B48&gt;$AG48</formula>
    </cfRule>
  </conditionalFormatting>
  <conditionalFormatting sqref="B82">
    <cfRule type="expression" dxfId="3915" priority="78">
      <formula>B$9&gt;=20/24</formula>
    </cfRule>
    <cfRule type="expression" dxfId="3914" priority="79">
      <formula>AND(B$9&gt;=14/24,B$9&lt;20/24)</formula>
    </cfRule>
    <cfRule type="expression" dxfId="3913" priority="80">
      <formula>AND(B$9&gt;=8/24,B$9&lt;14/24)</formula>
    </cfRule>
    <cfRule type="expression" dxfId="3912" priority="81">
      <formula>B$9&lt;8/24</formula>
    </cfRule>
  </conditionalFormatting>
  <conditionalFormatting sqref="B52">
    <cfRule type="expression" dxfId="3911" priority="74">
      <formula>B$9&gt;=20/24</formula>
    </cfRule>
    <cfRule type="expression" dxfId="3910" priority="75">
      <formula>AND(B$9&gt;=14/24,B$9&lt;20/24)</formula>
    </cfRule>
    <cfRule type="expression" dxfId="3909" priority="76">
      <formula>AND(B$9&gt;=8/24,B$9&lt;14/24)</formula>
    </cfRule>
    <cfRule type="expression" dxfId="3908" priority="77">
      <formula>B$9&lt;8/24</formula>
    </cfRule>
  </conditionalFormatting>
  <conditionalFormatting sqref="B52">
    <cfRule type="expression" dxfId="3907" priority="73">
      <formula>B52&gt;$AG52</formula>
    </cfRule>
  </conditionalFormatting>
  <conditionalFormatting sqref="B59:Z64">
    <cfRule type="expression" dxfId="3906" priority="65">
      <formula>B$9&gt;=20/24</formula>
    </cfRule>
    <cfRule type="expression" dxfId="3905" priority="66">
      <formula>AND(B$9&gt;=14/24,B$9&lt;20/24)</formula>
    </cfRule>
    <cfRule type="expression" dxfId="3904" priority="67">
      <formula>AND(B$9&gt;=8/24,B$9&lt;14/24)</formula>
    </cfRule>
    <cfRule type="expression" dxfId="3903" priority="68">
      <formula>B$9&lt;8/24</formula>
    </cfRule>
  </conditionalFormatting>
  <conditionalFormatting sqref="B59:Z64">
    <cfRule type="expression" dxfId="3902" priority="64">
      <formula>B59&gt;$AG59</formula>
    </cfRule>
  </conditionalFormatting>
  <conditionalFormatting sqref="B77:AA81">
    <cfRule type="expression" dxfId="3901" priority="60">
      <formula>B$9&gt;=20/24</formula>
    </cfRule>
    <cfRule type="expression" dxfId="3900" priority="61">
      <formula>AND(B$9&gt;=14/24,B$9&lt;20/24)</formula>
    </cfRule>
    <cfRule type="expression" dxfId="3899" priority="62">
      <formula>AND(B$9&gt;=8/24,B$9&lt;14/24)</formula>
    </cfRule>
    <cfRule type="expression" dxfId="3898" priority="63">
      <formula>B$9&lt;8/24</formula>
    </cfRule>
  </conditionalFormatting>
  <conditionalFormatting sqref="A11">
    <cfRule type="expression" dxfId="3897" priority="59">
      <formula>$AH11=0</formula>
    </cfRule>
  </conditionalFormatting>
  <conditionalFormatting sqref="B11:AF11">
    <cfRule type="expression" dxfId="3896" priority="50">
      <formula>B$9&gt;=20/24</formula>
    </cfRule>
    <cfRule type="expression" dxfId="3895" priority="51">
      <formula>AND(B$9&gt;=14/24,B$9&lt;20/24)</formula>
    </cfRule>
    <cfRule type="expression" dxfId="3894" priority="52">
      <formula>AND(B$9&gt;=8/24,B$9&lt;14/24)</formula>
    </cfRule>
    <cfRule type="expression" dxfId="3893" priority="53">
      <formula>B$9&lt;8/24</formula>
    </cfRule>
  </conditionalFormatting>
  <conditionalFormatting sqref="B11:AF11">
    <cfRule type="expression" dxfId="3892" priority="49">
      <formula>B11&gt;$AG11</formula>
    </cfRule>
  </conditionalFormatting>
  <conditionalFormatting sqref="A16">
    <cfRule type="expression" dxfId="3891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B16:AF16">
    <cfRule type="expression" dxfId="3890" priority="38">
      <formula>B$9&gt;=20/24</formula>
    </cfRule>
    <cfRule type="expression" dxfId="3889" priority="39">
      <formula>AND(B$9&gt;=14/24,B$9&lt;20/24)</formula>
    </cfRule>
    <cfRule type="expression" dxfId="3888" priority="40">
      <formula>AND(B$9&gt;=8/24,B$9&lt;14/24)</formula>
    </cfRule>
    <cfRule type="expression" dxfId="3887" priority="41">
      <formula>B$9&lt;8/24</formula>
    </cfRule>
  </conditionalFormatting>
  <conditionalFormatting sqref="B16:AF16">
    <cfRule type="expression" dxfId="3886" priority="37">
      <formula>B16&gt;$AG16</formula>
    </cfRule>
  </conditionalFormatting>
  <conditionalFormatting sqref="A33">
    <cfRule type="expression" dxfId="3885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B33:AF33">
    <cfRule type="expression" dxfId="3884" priority="26">
      <formula>B$9&gt;=20/24</formula>
    </cfRule>
    <cfRule type="expression" dxfId="3883" priority="27">
      <formula>AND(B$9&gt;=14/24,B$9&lt;20/24)</formula>
    </cfRule>
    <cfRule type="expression" dxfId="3882" priority="28">
      <formula>AND(B$9&gt;=8/24,B$9&lt;14/24)</formula>
    </cfRule>
    <cfRule type="expression" dxfId="3881" priority="29">
      <formula>B$9&lt;8/24</formula>
    </cfRule>
  </conditionalFormatting>
  <conditionalFormatting sqref="B33:AF33">
    <cfRule type="expression" dxfId="3880" priority="25">
      <formula>B33&gt;$AG33</formula>
    </cfRule>
  </conditionalFormatting>
  <conditionalFormatting sqref="A44">
    <cfRule type="expression" dxfId="3879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B44:AF44">
    <cfRule type="expression" dxfId="3878" priority="14">
      <formula>B$9&gt;=20/24</formula>
    </cfRule>
    <cfRule type="expression" dxfId="3877" priority="15">
      <formula>AND(B$9&gt;=14/24,B$9&lt;20/24)</formula>
    </cfRule>
    <cfRule type="expression" dxfId="3876" priority="16">
      <formula>AND(B$9&gt;=8/24,B$9&lt;14/24)</formula>
    </cfRule>
    <cfRule type="expression" dxfId="3875" priority="17">
      <formula>B$9&lt;8/24</formula>
    </cfRule>
  </conditionalFormatting>
  <conditionalFormatting sqref="B44:AF44">
    <cfRule type="expression" dxfId="3874" priority="13">
      <formula>B44&gt;$AG44</formula>
    </cfRule>
  </conditionalFormatting>
  <conditionalFormatting sqref="B117">
    <cfRule type="expression" dxfId="3873" priority="1">
      <formula>B$9&gt;=20/24</formula>
    </cfRule>
    <cfRule type="expression" dxfId="3872" priority="2">
      <formula>AND(B$9&gt;=14/24,B$9&lt;20/24)</formula>
    </cfRule>
    <cfRule type="expression" dxfId="3871" priority="3">
      <formula>AND(B$9&gt;=8/24,B$9&lt;14/24)</formula>
    </cfRule>
    <cfRule type="expression" dxfId="3870" priority="4">
      <formula>B$9&lt;8/24</formula>
    </cfRule>
  </conditionalFormatting>
  <conditionalFormatting sqref="D117:AF117">
    <cfRule type="expression" dxfId="3869" priority="9">
      <formula>D$9&gt;=20/24</formula>
    </cfRule>
    <cfRule type="expression" dxfId="3868" priority="10">
      <formula>AND(D$9&gt;=14/24,D$9&lt;20/24)</formula>
    </cfRule>
    <cfRule type="expression" dxfId="3867" priority="11">
      <formula>AND(D$9&gt;=8/24,D$9&lt;14/24)</formula>
    </cfRule>
    <cfRule type="expression" dxfId="3866" priority="12">
      <formula>D$9&lt;8/24</formula>
    </cfRule>
  </conditionalFormatting>
  <conditionalFormatting sqref="C117">
    <cfRule type="expression" dxfId="3865" priority="5">
      <formula>C$9&gt;=20/24</formula>
    </cfRule>
    <cfRule type="expression" dxfId="3864" priority="6">
      <formula>AND(C$9&gt;=14/24,C$9&lt;20/24)</formula>
    </cfRule>
    <cfRule type="expression" dxfId="3863" priority="7">
      <formula>AND(C$9&gt;=8/24,C$9&lt;14/24)</formula>
    </cfRule>
    <cfRule type="expression" dxfId="3862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31427D1F-6892-4331-9865-30CEDF4433F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1DFA16C5-1FF1-43DC-A3A1-43BF36A7F0A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2BBBA1B8-1C20-405A-A6E4-AE26CF7E2C6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3F710FDD-9E45-4908-B1FB-56574711280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D2BA123A-624B-4FA4-923E-9995155CE7B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1A58A0BB-0336-48BD-B0C0-8D5817BEF00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11E5635E-0E7C-46A6-826E-4C4E28FE880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AA912457-02F5-4297-B3F9-46FF28D20A9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="98" zoomScaleNormal="98" workbookViewId="0">
      <pane ySplit="10" topLeftCell="A68" activePane="bottomLeft" state="frozen"/>
      <selection activeCell="Z85" sqref="Z85"/>
      <selection pane="bottomLeft" activeCell="P88" sqref="P88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2079/12/18</v>
      </c>
      <c r="C4" s="236"/>
      <c r="D4" s="236"/>
      <c r="E4" s="237" t="str">
        <f ca="1">"2079/"&amp;"12/"&amp;INT(MID(CELL("filename",G6),FIND("]",CELL("filename",G6))+1,200))</f>
        <v>2079/12/18</v>
      </c>
      <c r="F4" s="237"/>
      <c r="G4" s="237"/>
      <c r="H4" s="237" t="str">
        <f ca="1">TEXT(E4,"dddd")</f>
        <v>Monday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205.8</v>
      </c>
      <c r="C5" s="33">
        <f t="shared" si="0"/>
        <v>210.79999999999998</v>
      </c>
      <c r="D5" s="33">
        <f t="shared" si="0"/>
        <v>189.20000000000002</v>
      </c>
      <c r="E5" s="33">
        <f t="shared" si="0"/>
        <v>208.3</v>
      </c>
      <c r="F5" s="33">
        <f t="shared" si="0"/>
        <v>206.70000000000002</v>
      </c>
      <c r="G5" s="33">
        <f t="shared" si="0"/>
        <v>231.29999999999998</v>
      </c>
      <c r="H5" s="33">
        <f t="shared" si="0"/>
        <v>223.4</v>
      </c>
      <c r="I5" s="33">
        <f t="shared" si="0"/>
        <v>279.5</v>
      </c>
      <c r="J5" s="33">
        <f t="shared" si="0"/>
        <v>279.7</v>
      </c>
      <c r="K5" s="33">
        <f t="shared" si="0"/>
        <v>265</v>
      </c>
      <c r="L5" s="33">
        <f t="shared" si="0"/>
        <v>281.5</v>
      </c>
      <c r="M5" s="33">
        <f t="shared" si="0"/>
        <v>311.39999999999998</v>
      </c>
      <c r="N5" s="33">
        <f t="shared" si="0"/>
        <v>329.4</v>
      </c>
      <c r="O5" s="33">
        <f t="shared" si="0"/>
        <v>286.5</v>
      </c>
      <c r="P5" s="33">
        <f t="shared" si="0"/>
        <v>267.2</v>
      </c>
      <c r="Q5" s="33">
        <f t="shared" si="0"/>
        <v>315.2</v>
      </c>
      <c r="R5" s="33">
        <f t="shared" si="0"/>
        <v>296.40000000000003</v>
      </c>
      <c r="S5" s="33">
        <f t="shared" si="0"/>
        <v>302.2</v>
      </c>
      <c r="T5" s="33">
        <f t="shared" si="0"/>
        <v>291</v>
      </c>
      <c r="U5" s="33">
        <f t="shared" si="0"/>
        <v>274</v>
      </c>
      <c r="V5" s="33">
        <f t="shared" si="0"/>
        <v>329</v>
      </c>
      <c r="W5" s="33">
        <f t="shared" si="0"/>
        <v>304.39999999999998</v>
      </c>
      <c r="X5" s="33">
        <f t="shared" si="0"/>
        <v>320</v>
      </c>
      <c r="Y5" s="33">
        <f t="shared" si="0"/>
        <v>141.5</v>
      </c>
      <c r="Z5" s="33">
        <f t="shared" si="0"/>
        <v>119.69999999999999</v>
      </c>
      <c r="AA5" s="33">
        <f t="shared" si="0"/>
        <v>121.9</v>
      </c>
      <c r="AB5" s="33">
        <f t="shared" si="0"/>
        <v>87.7</v>
      </c>
      <c r="AC5" s="33">
        <f t="shared" si="0"/>
        <v>99.9</v>
      </c>
      <c r="AD5" s="33">
        <f t="shared" si="0"/>
        <v>93.3</v>
      </c>
      <c r="AE5" s="33">
        <f t="shared" si="0"/>
        <v>106.5</v>
      </c>
      <c r="AF5" s="33">
        <f>B82</f>
        <v>536.5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1253MW at 9:00hr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Load=946</v>
      </c>
      <c r="B7" s="38">
        <f t="shared" ref="B7:AF7" si="1">B89</f>
        <v>1220.54</v>
      </c>
      <c r="C7" s="38">
        <f t="shared" si="1"/>
        <v>1180.04</v>
      </c>
      <c r="D7" s="38">
        <f t="shared" si="1"/>
        <v>1186.04</v>
      </c>
      <c r="E7" s="38">
        <f t="shared" si="1"/>
        <v>1168.44</v>
      </c>
      <c r="F7" s="38">
        <f t="shared" si="1"/>
        <v>1162.24</v>
      </c>
      <c r="G7" s="38">
        <f t="shared" si="1"/>
        <v>1181.44</v>
      </c>
      <c r="H7" s="38">
        <f t="shared" si="1"/>
        <v>1208.3400000000001</v>
      </c>
      <c r="I7" s="38">
        <f t="shared" si="1"/>
        <v>1225.74</v>
      </c>
      <c r="J7" s="38">
        <f t="shared" si="1"/>
        <v>1189.24</v>
      </c>
      <c r="K7" s="38">
        <f t="shared" si="1"/>
        <v>1219.3399999999999</v>
      </c>
      <c r="L7" s="38">
        <f t="shared" si="1"/>
        <v>1206.3400000000001</v>
      </c>
      <c r="M7" s="38">
        <f t="shared" si="1"/>
        <v>1234.6400000000001</v>
      </c>
      <c r="N7" s="38">
        <f>N89</f>
        <v>1252.74</v>
      </c>
      <c r="O7" s="38">
        <f t="shared" si="1"/>
        <v>1236.8400000000001</v>
      </c>
      <c r="P7" s="38">
        <f t="shared" si="1"/>
        <v>1317.04</v>
      </c>
      <c r="Q7" s="38">
        <f t="shared" si="1"/>
        <v>1123.74</v>
      </c>
      <c r="R7" s="38">
        <f t="shared" si="1"/>
        <v>1170.74</v>
      </c>
      <c r="S7" s="38">
        <f t="shared" si="1"/>
        <v>1069.54</v>
      </c>
      <c r="T7" s="38">
        <f t="shared" si="1"/>
        <v>1043.3399999999999</v>
      </c>
      <c r="U7" s="38">
        <f t="shared" si="1"/>
        <v>1045.04</v>
      </c>
      <c r="V7" s="38">
        <f t="shared" si="1"/>
        <v>1027.74</v>
      </c>
      <c r="W7" s="38">
        <f t="shared" si="1"/>
        <v>1047.54</v>
      </c>
      <c r="X7" s="38">
        <f t="shared" si="1"/>
        <v>1035.1399999999999</v>
      </c>
      <c r="Y7" s="38">
        <f t="shared" si="1"/>
        <v>1083.8400000000001</v>
      </c>
      <c r="Z7" s="38">
        <f t="shared" si="1"/>
        <v>1320.04</v>
      </c>
      <c r="AA7" s="38">
        <f t="shared" si="1"/>
        <v>1302.94</v>
      </c>
      <c r="AB7" s="38">
        <f t="shared" si="1"/>
        <v>1172.0400000000002</v>
      </c>
      <c r="AC7" s="38">
        <f t="shared" si="1"/>
        <v>1127.44</v>
      </c>
      <c r="AD7" s="38">
        <f t="shared" si="1"/>
        <v>1114.1400000000001</v>
      </c>
      <c r="AE7" s="38">
        <f t="shared" si="1"/>
        <v>985.33999999999992</v>
      </c>
      <c r="AF7" s="38">
        <f t="shared" si="1"/>
        <v>945.83999999999992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27</v>
      </c>
      <c r="C11" s="50">
        <v>27</v>
      </c>
      <c r="D11" s="50">
        <v>27</v>
      </c>
      <c r="E11" s="50">
        <v>27</v>
      </c>
      <c r="F11" s="50">
        <v>27</v>
      </c>
      <c r="G11" s="50">
        <v>27</v>
      </c>
      <c r="H11" s="50">
        <v>27</v>
      </c>
      <c r="I11" s="50">
        <v>27</v>
      </c>
      <c r="J11" s="50">
        <v>27</v>
      </c>
      <c r="K11" s="50">
        <v>27</v>
      </c>
      <c r="L11" s="50">
        <v>27</v>
      </c>
      <c r="M11" s="50">
        <v>27</v>
      </c>
      <c r="N11" s="50">
        <v>27</v>
      </c>
      <c r="O11" s="50">
        <v>27</v>
      </c>
      <c r="P11" s="50">
        <v>27</v>
      </c>
      <c r="Q11" s="50">
        <v>27</v>
      </c>
      <c r="R11" s="50">
        <v>27</v>
      </c>
      <c r="S11" s="50">
        <v>27</v>
      </c>
      <c r="T11" s="50">
        <v>27</v>
      </c>
      <c r="U11" s="50">
        <v>30</v>
      </c>
      <c r="V11" s="50">
        <v>30</v>
      </c>
      <c r="W11" s="50">
        <v>30</v>
      </c>
      <c r="X11" s="50">
        <v>30</v>
      </c>
      <c r="Y11" s="50">
        <v>45</v>
      </c>
      <c r="Z11" s="50">
        <v>45</v>
      </c>
      <c r="AA11" s="50">
        <v>45</v>
      </c>
      <c r="AB11" s="50">
        <v>45</v>
      </c>
      <c r="AC11" s="50">
        <v>45</v>
      </c>
      <c r="AD11" s="50">
        <v>45</v>
      </c>
      <c r="AE11" s="50">
        <v>45</v>
      </c>
      <c r="AF11" s="50">
        <v>45</v>
      </c>
      <c r="AG11" s="51">
        <v>86</v>
      </c>
      <c r="AH11" s="52">
        <f t="shared" ref="AH11:AH74" si="2">MAX(B11:AF11)</f>
        <v>45</v>
      </c>
      <c r="AI11" s="53">
        <f t="shared" ref="AI11:AI74" si="3">MIN(B11:AF11)</f>
        <v>27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17.2</v>
      </c>
      <c r="C12" s="50">
        <v>15.6</v>
      </c>
      <c r="D12" s="50">
        <v>15.6</v>
      </c>
      <c r="E12" s="50">
        <v>16.5</v>
      </c>
      <c r="F12" s="50">
        <v>16.5</v>
      </c>
      <c r="G12" s="50">
        <v>16.5</v>
      </c>
      <c r="H12" s="50">
        <v>16.5</v>
      </c>
      <c r="I12" s="50">
        <v>16.5</v>
      </c>
      <c r="J12" s="50">
        <v>16.5</v>
      </c>
      <c r="K12" s="50">
        <v>16.5</v>
      </c>
      <c r="L12" s="50">
        <v>16.5</v>
      </c>
      <c r="M12" s="50">
        <v>16.5</v>
      </c>
      <c r="N12" s="50">
        <v>16.5</v>
      </c>
      <c r="O12" s="50">
        <v>16.5</v>
      </c>
      <c r="P12" s="50">
        <v>16.5</v>
      </c>
      <c r="Q12" s="50">
        <v>16.5</v>
      </c>
      <c r="R12" s="50">
        <v>16.5</v>
      </c>
      <c r="S12" s="50">
        <v>16.5</v>
      </c>
      <c r="T12" s="50">
        <v>16.5</v>
      </c>
      <c r="U12" s="50">
        <v>16.5</v>
      </c>
      <c r="V12" s="50">
        <v>13.6</v>
      </c>
      <c r="W12" s="50">
        <v>13.6</v>
      </c>
      <c r="X12" s="50">
        <v>13.6</v>
      </c>
      <c r="Y12" s="50">
        <v>13.6</v>
      </c>
      <c r="Z12" s="50">
        <v>13.6</v>
      </c>
      <c r="AA12" s="50">
        <v>13.6</v>
      </c>
      <c r="AB12" s="50">
        <v>13.6</v>
      </c>
      <c r="AC12" s="50">
        <v>13.6</v>
      </c>
      <c r="AD12" s="50">
        <v>13.6</v>
      </c>
      <c r="AE12" s="50">
        <v>13.6</v>
      </c>
      <c r="AF12" s="50">
        <v>13.6</v>
      </c>
      <c r="AG12" s="51">
        <v>52.4</v>
      </c>
      <c r="AH12" s="52">
        <f t="shared" si="2"/>
        <v>17.2</v>
      </c>
      <c r="AI12" s="53">
        <f t="shared" si="3"/>
        <v>13.6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34.6</v>
      </c>
      <c r="C13" s="50">
        <v>34.700000000000003</v>
      </c>
      <c r="D13" s="50">
        <v>34.799999999999997</v>
      </c>
      <c r="E13" s="50">
        <v>35.299999999999997</v>
      </c>
      <c r="F13" s="50">
        <v>35.299999999999997</v>
      </c>
      <c r="G13" s="50">
        <v>35.299999999999997</v>
      </c>
      <c r="H13" s="50">
        <v>35.299999999999997</v>
      </c>
      <c r="I13" s="50">
        <v>35.299999999999997</v>
      </c>
      <c r="J13" s="50">
        <v>35.299999999999997</v>
      </c>
      <c r="K13" s="50">
        <v>35.299999999999997</v>
      </c>
      <c r="L13" s="50">
        <v>35.299999999999997</v>
      </c>
      <c r="M13" s="50">
        <v>35.299999999999997</v>
      </c>
      <c r="N13" s="50">
        <v>35.299999999999997</v>
      </c>
      <c r="O13" s="50">
        <v>35.299999999999997</v>
      </c>
      <c r="P13" s="50">
        <v>35.299999999999997</v>
      </c>
      <c r="Q13" s="50">
        <v>35.299999999999997</v>
      </c>
      <c r="R13" s="50">
        <v>35.299999999999997</v>
      </c>
      <c r="S13" s="50">
        <v>35.299999999999997</v>
      </c>
      <c r="T13" s="50">
        <v>35.299999999999997</v>
      </c>
      <c r="U13" s="50">
        <v>40</v>
      </c>
      <c r="V13" s="50">
        <v>39.9</v>
      </c>
      <c r="W13" s="50">
        <v>39.9</v>
      </c>
      <c r="X13" s="50">
        <v>39.9</v>
      </c>
      <c r="Y13" s="50">
        <v>39.700000000000003</v>
      </c>
      <c r="Z13" s="50">
        <v>44.1</v>
      </c>
      <c r="AA13" s="50">
        <v>44.1</v>
      </c>
      <c r="AB13" s="50">
        <v>44.1</v>
      </c>
      <c r="AC13" s="50">
        <v>44.1</v>
      </c>
      <c r="AD13" s="50">
        <v>44.1</v>
      </c>
      <c r="AE13" s="50">
        <v>44.1</v>
      </c>
      <c r="AF13" s="50">
        <v>44.1</v>
      </c>
      <c r="AG13" s="55">
        <v>50</v>
      </c>
      <c r="AH13" s="52">
        <f t="shared" si="2"/>
        <v>44.1</v>
      </c>
      <c r="AI13" s="53">
        <f t="shared" si="3"/>
        <v>34.6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17.100000000000001</v>
      </c>
      <c r="C14" s="50">
        <v>17</v>
      </c>
      <c r="D14" s="50">
        <v>16.8</v>
      </c>
      <c r="E14" s="50">
        <v>16.8</v>
      </c>
      <c r="F14" s="50">
        <v>16.8</v>
      </c>
      <c r="G14" s="50">
        <v>16.8</v>
      </c>
      <c r="H14" s="50">
        <v>16.8</v>
      </c>
      <c r="I14" s="50">
        <v>16.8</v>
      </c>
      <c r="J14" s="50">
        <v>16.8</v>
      </c>
      <c r="K14" s="50">
        <v>16.8</v>
      </c>
      <c r="L14" s="50">
        <v>16.8</v>
      </c>
      <c r="M14" s="50">
        <v>16.8</v>
      </c>
      <c r="N14" s="50">
        <v>16.8</v>
      </c>
      <c r="O14" s="50">
        <v>16.8</v>
      </c>
      <c r="P14" s="50">
        <v>16.8</v>
      </c>
      <c r="Q14" s="50">
        <v>16.8</v>
      </c>
      <c r="R14" s="50">
        <v>16.8</v>
      </c>
      <c r="S14" s="50">
        <v>16.8</v>
      </c>
      <c r="T14" s="50">
        <v>16.8</v>
      </c>
      <c r="U14" s="50">
        <v>22.2</v>
      </c>
      <c r="V14" s="50">
        <v>22.9</v>
      </c>
      <c r="W14" s="50">
        <v>22.9</v>
      </c>
      <c r="X14" s="50">
        <v>22.9</v>
      </c>
      <c r="Y14" s="50">
        <v>23.8</v>
      </c>
      <c r="Z14" s="50">
        <v>24.3</v>
      </c>
      <c r="AA14" s="50">
        <v>24.3</v>
      </c>
      <c r="AB14" s="50">
        <v>24.3</v>
      </c>
      <c r="AC14" s="50">
        <v>24.3</v>
      </c>
      <c r="AD14" s="50">
        <v>24.3</v>
      </c>
      <c r="AE14" s="50">
        <v>24.3</v>
      </c>
      <c r="AF14" s="50">
        <v>24.3</v>
      </c>
      <c r="AG14" s="55">
        <v>45</v>
      </c>
      <c r="AH14" s="52">
        <f t="shared" si="2"/>
        <v>24.3</v>
      </c>
      <c r="AI14" s="53">
        <f t="shared" si="3"/>
        <v>16.8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13</v>
      </c>
      <c r="C15" s="50">
        <v>13</v>
      </c>
      <c r="D15" s="50">
        <v>13</v>
      </c>
      <c r="E15" s="50">
        <v>13</v>
      </c>
      <c r="F15" s="50">
        <v>13</v>
      </c>
      <c r="G15" s="50">
        <v>13</v>
      </c>
      <c r="H15" s="50">
        <v>13</v>
      </c>
      <c r="I15" s="50">
        <v>13</v>
      </c>
      <c r="J15" s="50">
        <v>13</v>
      </c>
      <c r="K15" s="50">
        <v>13</v>
      </c>
      <c r="L15" s="50">
        <v>13</v>
      </c>
      <c r="M15" s="50">
        <v>13</v>
      </c>
      <c r="N15" s="50">
        <v>13</v>
      </c>
      <c r="O15" s="50">
        <v>13</v>
      </c>
      <c r="P15" s="50">
        <v>13</v>
      </c>
      <c r="Q15" s="50">
        <v>14</v>
      </c>
      <c r="R15" s="50">
        <v>13</v>
      </c>
      <c r="S15" s="50">
        <v>15.5</v>
      </c>
      <c r="T15" s="50">
        <v>18</v>
      </c>
      <c r="U15" s="50">
        <v>22</v>
      </c>
      <c r="V15" s="50">
        <v>24</v>
      </c>
      <c r="W15" s="50">
        <v>24</v>
      </c>
      <c r="X15" s="50">
        <v>24</v>
      </c>
      <c r="Y15" s="50">
        <v>22</v>
      </c>
      <c r="Z15" s="50">
        <v>22</v>
      </c>
      <c r="AA15" s="50">
        <v>22</v>
      </c>
      <c r="AB15" s="50">
        <v>22</v>
      </c>
      <c r="AC15" s="50">
        <v>22</v>
      </c>
      <c r="AD15" s="50">
        <v>22</v>
      </c>
      <c r="AE15" s="50">
        <v>22</v>
      </c>
      <c r="AF15" s="50">
        <v>22</v>
      </c>
      <c r="AG15" s="55">
        <v>42</v>
      </c>
      <c r="AH15" s="52">
        <f t="shared" si="2"/>
        <v>24</v>
      </c>
      <c r="AI15" s="53">
        <f t="shared" si="3"/>
        <v>13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14</v>
      </c>
      <c r="C16" s="50">
        <v>14</v>
      </c>
      <c r="D16" s="50">
        <v>14</v>
      </c>
      <c r="E16" s="50">
        <v>14</v>
      </c>
      <c r="F16" s="50">
        <v>14</v>
      </c>
      <c r="G16" s="50">
        <v>14</v>
      </c>
      <c r="H16" s="50">
        <v>14</v>
      </c>
      <c r="I16" s="50">
        <v>14</v>
      </c>
      <c r="J16" s="50">
        <v>14</v>
      </c>
      <c r="K16" s="50">
        <v>14</v>
      </c>
      <c r="L16" s="50">
        <v>14</v>
      </c>
      <c r="M16" s="50">
        <v>14</v>
      </c>
      <c r="N16" s="50">
        <v>14</v>
      </c>
      <c r="O16" s="50">
        <v>14</v>
      </c>
      <c r="P16" s="50">
        <v>14</v>
      </c>
      <c r="Q16" s="50">
        <v>14</v>
      </c>
      <c r="R16" s="50">
        <v>14</v>
      </c>
      <c r="S16" s="50">
        <v>14</v>
      </c>
      <c r="T16" s="50">
        <v>14</v>
      </c>
      <c r="U16" s="50">
        <v>14</v>
      </c>
      <c r="V16" s="50">
        <v>14</v>
      </c>
      <c r="W16" s="50">
        <v>14</v>
      </c>
      <c r="X16" s="50">
        <v>14</v>
      </c>
      <c r="Y16" s="50">
        <v>14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5">
        <v>36</v>
      </c>
      <c r="AH16" s="52">
        <f t="shared" si="2"/>
        <v>14</v>
      </c>
      <c r="AI16" s="53">
        <f t="shared" si="3"/>
        <v>0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10.6</v>
      </c>
      <c r="C18" s="50">
        <v>10.6</v>
      </c>
      <c r="D18" s="50">
        <v>9.9</v>
      </c>
      <c r="E18" s="50">
        <v>9.9</v>
      </c>
      <c r="F18" s="50">
        <v>9.9</v>
      </c>
      <c r="G18" s="50">
        <v>9.9</v>
      </c>
      <c r="H18" s="50">
        <v>9.9</v>
      </c>
      <c r="I18" s="50">
        <v>9.9</v>
      </c>
      <c r="J18" s="50">
        <v>9.9</v>
      </c>
      <c r="K18" s="50">
        <v>9.9</v>
      </c>
      <c r="L18" s="50">
        <v>9.9</v>
      </c>
      <c r="M18" s="50">
        <v>9.9</v>
      </c>
      <c r="N18" s="50">
        <v>9.9</v>
      </c>
      <c r="O18" s="50">
        <v>9.9</v>
      </c>
      <c r="P18" s="50">
        <v>9.9</v>
      </c>
      <c r="Q18" s="50">
        <v>9.9</v>
      </c>
      <c r="R18" s="50">
        <v>9.9</v>
      </c>
      <c r="S18" s="50">
        <v>9.9</v>
      </c>
      <c r="T18" s="50">
        <v>9.9</v>
      </c>
      <c r="U18" s="50">
        <v>9.9</v>
      </c>
      <c r="V18" s="50">
        <v>9.9</v>
      </c>
      <c r="W18" s="50">
        <v>9.9</v>
      </c>
      <c r="X18" s="50">
        <v>9.9</v>
      </c>
      <c r="Y18" s="50">
        <v>9.9</v>
      </c>
      <c r="Z18" s="50">
        <v>17.399999999999999</v>
      </c>
      <c r="AA18" s="50">
        <v>17.399999999999999</v>
      </c>
      <c r="AB18" s="50">
        <v>17.399999999999999</v>
      </c>
      <c r="AC18" s="50">
        <v>17.399999999999999</v>
      </c>
      <c r="AD18" s="50">
        <v>17.399999999999999</v>
      </c>
      <c r="AE18" s="50">
        <v>17.399999999999999</v>
      </c>
      <c r="AF18" s="50">
        <v>17.399999999999999</v>
      </c>
      <c r="AG18" s="56">
        <v>30</v>
      </c>
      <c r="AH18" s="52">
        <f t="shared" si="2"/>
        <v>17.399999999999999</v>
      </c>
      <c r="AI18" s="53">
        <f t="shared" si="3"/>
        <v>9.9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7.3</v>
      </c>
      <c r="C19" s="50">
        <v>6.6</v>
      </c>
      <c r="D19" s="50">
        <v>6.6</v>
      </c>
      <c r="E19" s="50">
        <v>6.6</v>
      </c>
      <c r="F19" s="50">
        <v>6.6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6.6</v>
      </c>
      <c r="N19" s="50">
        <v>6.6</v>
      </c>
      <c r="O19" s="50">
        <v>6.6</v>
      </c>
      <c r="P19" s="50">
        <v>6.6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9.4</v>
      </c>
      <c r="AA19" s="50">
        <v>9.4</v>
      </c>
      <c r="AB19" s="50">
        <v>9.4</v>
      </c>
      <c r="AC19" s="50">
        <v>9.4</v>
      </c>
      <c r="AD19" s="50">
        <v>9.4</v>
      </c>
      <c r="AE19" s="50">
        <v>9.4</v>
      </c>
      <c r="AF19" s="50">
        <v>9.4</v>
      </c>
      <c r="AG19" s="55">
        <v>24.2</v>
      </c>
      <c r="AH19" s="52">
        <f t="shared" si="2"/>
        <v>9.4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8</v>
      </c>
      <c r="C20" s="50">
        <v>8</v>
      </c>
      <c r="D20" s="50">
        <v>8</v>
      </c>
      <c r="E20" s="50">
        <v>8</v>
      </c>
      <c r="F20" s="50">
        <v>8</v>
      </c>
      <c r="G20" s="50">
        <v>8</v>
      </c>
      <c r="H20" s="50">
        <v>8</v>
      </c>
      <c r="I20" s="50">
        <v>8</v>
      </c>
      <c r="J20" s="50">
        <v>8</v>
      </c>
      <c r="K20" s="50">
        <v>8</v>
      </c>
      <c r="L20" s="50">
        <v>8</v>
      </c>
      <c r="M20" s="50">
        <v>8</v>
      </c>
      <c r="N20" s="50">
        <v>8</v>
      </c>
      <c r="O20" s="50">
        <v>8</v>
      </c>
      <c r="P20" s="50">
        <v>8</v>
      </c>
      <c r="Q20" s="50">
        <v>8</v>
      </c>
      <c r="R20" s="50">
        <v>8</v>
      </c>
      <c r="S20" s="50">
        <v>8</v>
      </c>
      <c r="T20" s="50">
        <v>8</v>
      </c>
      <c r="U20" s="50">
        <v>8</v>
      </c>
      <c r="V20" s="50">
        <v>8</v>
      </c>
      <c r="W20" s="50">
        <v>8</v>
      </c>
      <c r="X20" s="50">
        <v>8</v>
      </c>
      <c r="Y20" s="50">
        <v>8</v>
      </c>
      <c r="Z20" s="50">
        <v>8</v>
      </c>
      <c r="AA20" s="50">
        <v>8</v>
      </c>
      <c r="AB20" s="50">
        <v>8</v>
      </c>
      <c r="AC20" s="50">
        <v>8</v>
      </c>
      <c r="AD20" s="50">
        <v>8</v>
      </c>
      <c r="AE20" s="50">
        <v>8</v>
      </c>
      <c r="AF20" s="50">
        <v>8</v>
      </c>
      <c r="AG20" s="55">
        <v>28</v>
      </c>
      <c r="AH20" s="52">
        <f t="shared" si="2"/>
        <v>8</v>
      </c>
      <c r="AI20" s="53">
        <f t="shared" si="3"/>
        <v>8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6.5</v>
      </c>
      <c r="C21" s="50">
        <v>6.5</v>
      </c>
      <c r="D21" s="50">
        <v>6.5</v>
      </c>
      <c r="E21" s="50">
        <v>6.5</v>
      </c>
      <c r="F21" s="50">
        <v>6.5</v>
      </c>
      <c r="G21" s="50">
        <v>6.5</v>
      </c>
      <c r="H21" s="50">
        <v>6.5</v>
      </c>
      <c r="I21" s="50">
        <v>6.5</v>
      </c>
      <c r="J21" s="50">
        <v>6.5</v>
      </c>
      <c r="K21" s="50">
        <v>6.5</v>
      </c>
      <c r="L21" s="50">
        <v>6.5</v>
      </c>
      <c r="M21" s="50">
        <v>6.5</v>
      </c>
      <c r="N21" s="50">
        <v>6.5</v>
      </c>
      <c r="O21" s="50">
        <v>6.5</v>
      </c>
      <c r="P21" s="50">
        <v>6.5</v>
      </c>
      <c r="Q21" s="50">
        <v>6.5</v>
      </c>
      <c r="R21" s="50">
        <v>6.5</v>
      </c>
      <c r="S21" s="50">
        <v>6.5</v>
      </c>
      <c r="T21" s="50">
        <v>6.5</v>
      </c>
      <c r="U21" s="50">
        <v>6.5</v>
      </c>
      <c r="V21" s="50">
        <v>6.5</v>
      </c>
      <c r="W21" s="50">
        <v>6.5</v>
      </c>
      <c r="X21" s="50">
        <v>6.5</v>
      </c>
      <c r="Y21" s="50">
        <v>6.5</v>
      </c>
      <c r="Z21" s="50">
        <v>6.5</v>
      </c>
      <c r="AA21" s="50">
        <v>6.5</v>
      </c>
      <c r="AB21" s="50">
        <v>6.5</v>
      </c>
      <c r="AC21" s="50">
        <v>6.5</v>
      </c>
      <c r="AD21" s="50">
        <v>6.5</v>
      </c>
      <c r="AE21" s="50">
        <v>6.5</v>
      </c>
      <c r="AF21" s="50">
        <v>6.5</v>
      </c>
      <c r="AG21" s="56">
        <v>30</v>
      </c>
      <c r="AH21" s="52">
        <f t="shared" si="2"/>
        <v>6.5</v>
      </c>
      <c r="AI21" s="53">
        <f t="shared" si="3"/>
        <v>6.5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10.5</v>
      </c>
      <c r="C22" s="50">
        <v>10.3</v>
      </c>
      <c r="D22" s="50">
        <v>10.3</v>
      </c>
      <c r="E22" s="50">
        <v>10.3</v>
      </c>
      <c r="F22" s="50">
        <v>10.3</v>
      </c>
      <c r="G22" s="50">
        <v>10.3</v>
      </c>
      <c r="H22" s="50">
        <v>10.3</v>
      </c>
      <c r="I22" s="50">
        <v>10.3</v>
      </c>
      <c r="J22" s="50">
        <v>10.3</v>
      </c>
      <c r="K22" s="50">
        <v>10.3</v>
      </c>
      <c r="L22" s="50">
        <v>10.3</v>
      </c>
      <c r="M22" s="50">
        <v>10.3</v>
      </c>
      <c r="N22" s="50">
        <v>10.3</v>
      </c>
      <c r="O22" s="50">
        <v>10.3</v>
      </c>
      <c r="P22" s="50">
        <v>10.3</v>
      </c>
      <c r="Q22" s="50">
        <v>10.3</v>
      </c>
      <c r="R22" s="50">
        <v>10.3</v>
      </c>
      <c r="S22" s="50">
        <v>10.3</v>
      </c>
      <c r="T22" s="50">
        <v>10.3</v>
      </c>
      <c r="U22" s="50">
        <v>10.3</v>
      </c>
      <c r="V22" s="50">
        <v>10.3</v>
      </c>
      <c r="W22" s="50">
        <v>10.3</v>
      </c>
      <c r="X22" s="50">
        <v>10.3</v>
      </c>
      <c r="Y22" s="50">
        <v>10.3</v>
      </c>
      <c r="Z22" s="50">
        <v>10.3</v>
      </c>
      <c r="AA22" s="50">
        <v>10.3</v>
      </c>
      <c r="AB22" s="50">
        <v>10.3</v>
      </c>
      <c r="AC22" s="50">
        <v>10.3</v>
      </c>
      <c r="AD22" s="50">
        <v>10.3</v>
      </c>
      <c r="AE22" s="50">
        <v>10.3</v>
      </c>
      <c r="AF22" s="50">
        <v>10.3</v>
      </c>
      <c r="AG22" s="55">
        <v>25</v>
      </c>
      <c r="AH22" s="52">
        <f t="shared" si="2"/>
        <v>10.5</v>
      </c>
      <c r="AI22" s="53">
        <f t="shared" si="3"/>
        <v>10.3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5">
        <v>25</v>
      </c>
      <c r="AH23" s="52">
        <f t="shared" si="2"/>
        <v>0</v>
      </c>
      <c r="AI23" s="53">
        <f t="shared" si="3"/>
        <v>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0</v>
      </c>
      <c r="AG24" s="55">
        <v>25</v>
      </c>
      <c r="AH24" s="52">
        <f t="shared" si="2"/>
        <v>6</v>
      </c>
      <c r="AI24" s="53">
        <f t="shared" si="3"/>
        <v>0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5.9</v>
      </c>
      <c r="C26" s="50">
        <v>5.9</v>
      </c>
      <c r="D26" s="50">
        <v>5.9</v>
      </c>
      <c r="E26" s="50">
        <v>5.9</v>
      </c>
      <c r="F26" s="50">
        <v>5.9</v>
      </c>
      <c r="G26" s="50">
        <v>5.9</v>
      </c>
      <c r="H26" s="50">
        <v>5.9</v>
      </c>
      <c r="I26" s="50">
        <v>5.9</v>
      </c>
      <c r="J26" s="50">
        <v>5.9</v>
      </c>
      <c r="K26" s="50">
        <v>5.9</v>
      </c>
      <c r="L26" s="50">
        <v>5.9</v>
      </c>
      <c r="M26" s="50">
        <v>5.9</v>
      </c>
      <c r="N26" s="50">
        <v>5.9</v>
      </c>
      <c r="O26" s="50">
        <v>5.9</v>
      </c>
      <c r="P26" s="50">
        <v>5.9</v>
      </c>
      <c r="Q26" s="50">
        <v>5.9</v>
      </c>
      <c r="R26" s="50">
        <v>5.9</v>
      </c>
      <c r="S26" s="50">
        <v>5.9</v>
      </c>
      <c r="T26" s="50">
        <v>5.9</v>
      </c>
      <c r="U26" s="50">
        <v>5.9</v>
      </c>
      <c r="V26" s="50">
        <v>5.9</v>
      </c>
      <c r="W26" s="50">
        <v>5.9</v>
      </c>
      <c r="X26" s="50">
        <v>5.9</v>
      </c>
      <c r="Y26" s="50">
        <v>5.9</v>
      </c>
      <c r="Z26" s="50">
        <v>5.9</v>
      </c>
      <c r="AA26" s="50">
        <v>5.9</v>
      </c>
      <c r="AB26" s="50">
        <v>5.9</v>
      </c>
      <c r="AC26" s="50">
        <v>5.9</v>
      </c>
      <c r="AD26" s="50">
        <v>5.9</v>
      </c>
      <c r="AE26" s="50">
        <v>5.9</v>
      </c>
      <c r="AF26" s="50">
        <v>5.9</v>
      </c>
      <c r="AG26" s="55">
        <v>23.5</v>
      </c>
      <c r="AH26" s="52">
        <f t="shared" si="2"/>
        <v>5.9</v>
      </c>
      <c r="AI26" s="53">
        <f t="shared" si="3"/>
        <v>5.9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5">
        <v>22</v>
      </c>
      <c r="AH29" s="52">
        <f t="shared" si="2"/>
        <v>0</v>
      </c>
      <c r="AI29" s="53">
        <f t="shared" si="3"/>
        <v>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20</v>
      </c>
      <c r="C30" s="50">
        <v>18</v>
      </c>
      <c r="D30" s="50">
        <v>18</v>
      </c>
      <c r="E30" s="50">
        <v>18</v>
      </c>
      <c r="F30" s="50">
        <v>18</v>
      </c>
      <c r="G30" s="50">
        <v>18</v>
      </c>
      <c r="H30" s="50">
        <v>18</v>
      </c>
      <c r="I30" s="50">
        <v>18</v>
      </c>
      <c r="J30" s="50">
        <v>18</v>
      </c>
      <c r="K30" s="50">
        <v>18</v>
      </c>
      <c r="L30" s="50">
        <v>18</v>
      </c>
      <c r="M30" s="50">
        <v>18</v>
      </c>
      <c r="N30" s="50">
        <v>18</v>
      </c>
      <c r="O30" s="50">
        <v>18</v>
      </c>
      <c r="P30" s="50">
        <v>18</v>
      </c>
      <c r="Q30" s="50">
        <v>18</v>
      </c>
      <c r="R30" s="50">
        <v>18</v>
      </c>
      <c r="S30" s="50">
        <v>18</v>
      </c>
      <c r="T30" s="50">
        <v>18</v>
      </c>
      <c r="U30" s="50">
        <v>14</v>
      </c>
      <c r="V30" s="50">
        <v>14</v>
      </c>
      <c r="W30" s="50">
        <v>14</v>
      </c>
      <c r="X30" s="50">
        <v>14</v>
      </c>
      <c r="Y30" s="50">
        <v>21.8</v>
      </c>
      <c r="Z30" s="50">
        <v>22.6</v>
      </c>
      <c r="AA30" s="50">
        <v>22.6</v>
      </c>
      <c r="AB30" s="50">
        <v>22.6</v>
      </c>
      <c r="AC30" s="50">
        <v>22.6</v>
      </c>
      <c r="AD30" s="50">
        <v>22.6</v>
      </c>
      <c r="AE30" s="50">
        <v>22.6</v>
      </c>
      <c r="AF30" s="50">
        <v>22.6</v>
      </c>
      <c r="AG30" s="55">
        <v>22</v>
      </c>
      <c r="AH30" s="52">
        <f t="shared" si="2"/>
        <v>22.6</v>
      </c>
      <c r="AI30" s="53">
        <f t="shared" si="3"/>
        <v>14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55">
        <v>20</v>
      </c>
      <c r="AH31" s="52">
        <f t="shared" si="2"/>
        <v>6</v>
      </c>
      <c r="AI31" s="53">
        <f t="shared" si="3"/>
        <v>6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>
        <v>4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55">
        <v>14.9</v>
      </c>
      <c r="AH33" s="52">
        <f t="shared" si="2"/>
        <v>7</v>
      </c>
      <c r="AI33" s="53">
        <f t="shared" si="3"/>
        <v>0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5.2</v>
      </c>
      <c r="C38" s="50">
        <v>5.2</v>
      </c>
      <c r="D38" s="50">
        <v>5.2</v>
      </c>
      <c r="E38" s="50">
        <v>5.2</v>
      </c>
      <c r="F38" s="50">
        <v>5.2</v>
      </c>
      <c r="G38" s="50">
        <v>5.2</v>
      </c>
      <c r="H38" s="50">
        <v>5.2</v>
      </c>
      <c r="I38" s="50">
        <v>5.2</v>
      </c>
      <c r="J38" s="50">
        <v>5.2</v>
      </c>
      <c r="K38" s="50">
        <v>5.2</v>
      </c>
      <c r="L38" s="50">
        <v>5.2</v>
      </c>
      <c r="M38" s="50">
        <v>5.2</v>
      </c>
      <c r="N38" s="50">
        <v>5.2</v>
      </c>
      <c r="O38" s="50">
        <v>5.2</v>
      </c>
      <c r="P38" s="50">
        <v>5.2</v>
      </c>
      <c r="Q38" s="50">
        <v>5.2</v>
      </c>
      <c r="R38" s="50">
        <v>5.2</v>
      </c>
      <c r="S38" s="50">
        <v>5.2</v>
      </c>
      <c r="T38" s="50">
        <v>5.2</v>
      </c>
      <c r="U38" s="50">
        <v>5.2</v>
      </c>
      <c r="V38" s="50">
        <v>5.2</v>
      </c>
      <c r="W38" s="50">
        <v>5.2</v>
      </c>
      <c r="X38" s="50">
        <v>5.2</v>
      </c>
      <c r="Y38" s="50">
        <v>5.2</v>
      </c>
      <c r="Z38" s="50">
        <v>5.2</v>
      </c>
      <c r="AA38" s="50">
        <v>5.2</v>
      </c>
      <c r="AB38" s="50">
        <v>5.2</v>
      </c>
      <c r="AC38" s="50">
        <v>5.2</v>
      </c>
      <c r="AD38" s="50">
        <v>5.2</v>
      </c>
      <c r="AE38" s="50">
        <v>5.2</v>
      </c>
      <c r="AF38" s="50">
        <v>5.2</v>
      </c>
      <c r="AG38" s="55">
        <v>12</v>
      </c>
      <c r="AH38" s="52">
        <f t="shared" si="2"/>
        <v>5.2</v>
      </c>
      <c r="AI38" s="53">
        <f t="shared" si="3"/>
        <v>5.2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50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3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120</v>
      </c>
      <c r="C46" s="63">
        <v>120</v>
      </c>
      <c r="D46" s="63">
        <v>120</v>
      </c>
      <c r="E46" s="63">
        <v>120</v>
      </c>
      <c r="F46" s="63">
        <v>120</v>
      </c>
      <c r="G46" s="63">
        <v>120</v>
      </c>
      <c r="H46" s="63">
        <v>120</v>
      </c>
      <c r="I46" s="63">
        <v>120</v>
      </c>
      <c r="J46" s="63">
        <v>120</v>
      </c>
      <c r="K46" s="63">
        <v>120</v>
      </c>
      <c r="L46" s="63">
        <v>120</v>
      </c>
      <c r="M46" s="63">
        <v>120</v>
      </c>
      <c r="N46" s="63">
        <v>120</v>
      </c>
      <c r="O46" s="63">
        <v>120</v>
      </c>
      <c r="P46" s="63">
        <v>120</v>
      </c>
      <c r="Q46" s="63">
        <v>120</v>
      </c>
      <c r="R46" s="63">
        <v>120</v>
      </c>
      <c r="S46" s="63">
        <v>120</v>
      </c>
      <c r="T46" s="63">
        <v>120</v>
      </c>
      <c r="U46" s="63">
        <v>120</v>
      </c>
      <c r="V46" s="63">
        <v>120</v>
      </c>
      <c r="W46" s="63">
        <v>120</v>
      </c>
      <c r="X46" s="63">
        <v>120</v>
      </c>
      <c r="Y46" s="63">
        <v>120</v>
      </c>
      <c r="Z46" s="63">
        <v>120</v>
      </c>
      <c r="AA46" s="63">
        <v>140</v>
      </c>
      <c r="AB46" s="63">
        <v>140</v>
      </c>
      <c r="AC46" s="63">
        <v>140</v>
      </c>
      <c r="AD46" s="63">
        <v>140</v>
      </c>
      <c r="AE46" s="63">
        <v>140</v>
      </c>
      <c r="AF46" s="63">
        <v>140</v>
      </c>
      <c r="AG46" s="61">
        <v>85</v>
      </c>
      <c r="AH46" s="52">
        <f t="shared" si="2"/>
        <v>140</v>
      </c>
      <c r="AI46" s="53">
        <f t="shared" si="3"/>
        <v>120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 t="shared" ref="B48" si="4">SUM(B11:B46)</f>
        <v>396.20000000000005</v>
      </c>
      <c r="C48" s="67">
        <f t="shared" ref="C48:AF48" si="5">SUM(C11:C46)</f>
        <v>391.70000000000005</v>
      </c>
      <c r="D48" s="67">
        <f t="shared" ref="D48" si="6">SUM(D11:D46)</f>
        <v>390.9</v>
      </c>
      <c r="E48" s="67">
        <f t="shared" si="5"/>
        <v>392.3</v>
      </c>
      <c r="F48" s="67">
        <f t="shared" si="5"/>
        <v>392.3</v>
      </c>
      <c r="G48" s="67">
        <f t="shared" si="5"/>
        <v>392.3</v>
      </c>
      <c r="H48" s="67">
        <f t="shared" si="5"/>
        <v>392.3</v>
      </c>
      <c r="I48" s="67">
        <f t="shared" si="5"/>
        <v>392.3</v>
      </c>
      <c r="J48" s="67">
        <f t="shared" si="5"/>
        <v>392.3</v>
      </c>
      <c r="K48" s="67">
        <f t="shared" si="5"/>
        <v>392.3</v>
      </c>
      <c r="L48" s="67">
        <f t="shared" si="5"/>
        <v>392.3</v>
      </c>
      <c r="M48" s="67">
        <f t="shared" si="5"/>
        <v>392.3</v>
      </c>
      <c r="N48" s="67">
        <f t="shared" si="5"/>
        <v>392.3</v>
      </c>
      <c r="O48" s="67">
        <f t="shared" ref="O48" si="7">SUM(O11:O46)</f>
        <v>392.3</v>
      </c>
      <c r="P48" s="67">
        <f t="shared" si="5"/>
        <v>392.3</v>
      </c>
      <c r="Q48" s="67">
        <f t="shared" si="5"/>
        <v>393.3</v>
      </c>
      <c r="R48" s="67">
        <f t="shared" si="5"/>
        <v>392.3</v>
      </c>
      <c r="S48" s="67">
        <f t="shared" si="5"/>
        <v>394.8</v>
      </c>
      <c r="T48" s="67">
        <f t="shared" si="5"/>
        <v>397.3</v>
      </c>
      <c r="U48" s="67">
        <f t="shared" si="5"/>
        <v>410.4</v>
      </c>
      <c r="V48" s="67">
        <f t="shared" si="5"/>
        <v>410.1</v>
      </c>
      <c r="W48" s="67">
        <f t="shared" si="5"/>
        <v>410.1</v>
      </c>
      <c r="X48" s="67">
        <f t="shared" ref="X48" si="8">SUM(X11:X46)</f>
        <v>410.1</v>
      </c>
      <c r="Y48" s="67">
        <f t="shared" si="5"/>
        <v>431.6</v>
      </c>
      <c r="Z48" s="67">
        <f t="shared" si="5"/>
        <v>426.6</v>
      </c>
      <c r="AA48" s="67">
        <f t="shared" si="5"/>
        <v>446.6</v>
      </c>
      <c r="AB48" s="67">
        <f t="shared" si="5"/>
        <v>446.6</v>
      </c>
      <c r="AC48" s="67">
        <f t="shared" si="5"/>
        <v>446.6</v>
      </c>
      <c r="AD48" s="67">
        <f t="shared" si="5"/>
        <v>446.6</v>
      </c>
      <c r="AE48" s="67">
        <f t="shared" si="5"/>
        <v>446.6</v>
      </c>
      <c r="AF48" s="67">
        <f t="shared" si="5"/>
        <v>440.6</v>
      </c>
      <c r="AG48" s="68">
        <f t="shared" ref="AG48" si="9">SUM(AG12:AG46)</f>
        <v>875.68</v>
      </c>
      <c r="AH48" s="52">
        <f t="shared" si="2"/>
        <v>446.6</v>
      </c>
      <c r="AI48" s="53">
        <f t="shared" si="3"/>
        <v>390.9</v>
      </c>
      <c r="AK48" s="54"/>
    </row>
    <row r="49" spans="1:41" x14ac:dyDescent="0.25">
      <c r="A49" s="69" t="s">
        <v>57</v>
      </c>
      <c r="B49" s="50">
        <v>30</v>
      </c>
      <c r="C49" s="50">
        <v>320</v>
      </c>
      <c r="D49" s="50">
        <v>375</v>
      </c>
      <c r="E49" s="50">
        <v>375</v>
      </c>
      <c r="F49" s="50">
        <v>342.9</v>
      </c>
      <c r="G49" s="50">
        <v>280</v>
      </c>
      <c r="H49" s="50">
        <v>200</v>
      </c>
      <c r="I49" s="50">
        <v>200</v>
      </c>
      <c r="J49" s="50">
        <v>100</v>
      </c>
      <c r="K49" s="50">
        <v>80</v>
      </c>
      <c r="L49" s="50">
        <v>81.599999999999994</v>
      </c>
      <c r="M49" s="70">
        <v>70</v>
      </c>
      <c r="N49" s="70">
        <v>40</v>
      </c>
      <c r="O49" s="70">
        <v>40</v>
      </c>
      <c r="P49" s="70">
        <v>80</v>
      </c>
      <c r="Q49" s="70">
        <v>80</v>
      </c>
      <c r="R49" s="70">
        <v>80</v>
      </c>
      <c r="S49" s="50">
        <v>40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0</v>
      </c>
      <c r="Z49" s="50">
        <v>200</v>
      </c>
      <c r="AA49" s="50">
        <v>200</v>
      </c>
      <c r="AB49" s="50">
        <v>170</v>
      </c>
      <c r="AC49" s="50">
        <v>190</v>
      </c>
      <c r="AD49" s="50">
        <v>200</v>
      </c>
      <c r="AE49" s="50">
        <v>130</v>
      </c>
      <c r="AF49" s="50">
        <v>90</v>
      </c>
      <c r="AG49" s="56">
        <v>456</v>
      </c>
      <c r="AH49" s="52">
        <f t="shared" si="2"/>
        <v>375</v>
      </c>
      <c r="AI49" s="53">
        <f t="shared" si="3"/>
        <v>0</v>
      </c>
      <c r="AK49" s="54"/>
    </row>
    <row r="50" spans="1:41" x14ac:dyDescent="0.25">
      <c r="A50" s="71" t="s">
        <v>58</v>
      </c>
      <c r="B50" s="72">
        <v>30</v>
      </c>
      <c r="C50" s="72">
        <v>30</v>
      </c>
      <c r="D50" s="72">
        <v>30</v>
      </c>
      <c r="E50" s="72">
        <v>30</v>
      </c>
      <c r="F50" s="72">
        <v>30</v>
      </c>
      <c r="G50" s="72">
        <v>30</v>
      </c>
      <c r="H50" s="72">
        <v>30</v>
      </c>
      <c r="I50" s="72">
        <v>30</v>
      </c>
      <c r="J50" s="72">
        <v>30</v>
      </c>
      <c r="K50" s="72">
        <v>30</v>
      </c>
      <c r="L50" s="72">
        <v>30</v>
      </c>
      <c r="M50" s="72">
        <v>30</v>
      </c>
      <c r="N50" s="72">
        <v>30</v>
      </c>
      <c r="O50" s="72">
        <v>30</v>
      </c>
      <c r="P50" s="72">
        <v>30</v>
      </c>
      <c r="Q50" s="72">
        <v>30</v>
      </c>
      <c r="R50" s="72">
        <v>30</v>
      </c>
      <c r="S50" s="72">
        <v>30</v>
      </c>
      <c r="T50" s="72">
        <v>30</v>
      </c>
      <c r="U50" s="72">
        <v>30</v>
      </c>
      <c r="V50" s="72">
        <v>30</v>
      </c>
      <c r="W50" s="72">
        <v>30</v>
      </c>
      <c r="X50" s="72">
        <v>30</v>
      </c>
      <c r="Y50" s="72">
        <v>34</v>
      </c>
      <c r="Z50" s="72">
        <v>34</v>
      </c>
      <c r="AA50" s="72">
        <v>34</v>
      </c>
      <c r="AB50" s="72">
        <v>34</v>
      </c>
      <c r="AC50" s="72">
        <v>34</v>
      </c>
      <c r="AD50" s="72">
        <v>34</v>
      </c>
      <c r="AE50" s="72">
        <v>34</v>
      </c>
      <c r="AF50" s="72">
        <v>34</v>
      </c>
      <c r="AG50" s="61">
        <v>60</v>
      </c>
      <c r="AH50" s="52">
        <f t="shared" si="2"/>
        <v>34</v>
      </c>
      <c r="AI50" s="53">
        <f t="shared" si="3"/>
        <v>30</v>
      </c>
      <c r="AK50" s="54"/>
    </row>
    <row r="51" spans="1:41" ht="15.75" thickBot="1" x14ac:dyDescent="0.3">
      <c r="A51" s="73" t="s">
        <v>59</v>
      </c>
      <c r="B51" s="74">
        <v>10.8</v>
      </c>
      <c r="C51" s="74">
        <v>11.8</v>
      </c>
      <c r="D51" s="74">
        <v>11.8</v>
      </c>
      <c r="E51" s="74">
        <v>11.8</v>
      </c>
      <c r="F51" s="74">
        <v>11.8</v>
      </c>
      <c r="G51" s="74">
        <v>11.8</v>
      </c>
      <c r="H51" s="74">
        <v>11.8</v>
      </c>
      <c r="I51" s="74">
        <v>11.8</v>
      </c>
      <c r="J51" s="74">
        <v>11.8</v>
      </c>
      <c r="K51" s="74">
        <v>11.8</v>
      </c>
      <c r="L51" s="74">
        <v>11.8</v>
      </c>
      <c r="M51" s="74">
        <v>11.8</v>
      </c>
      <c r="N51" s="74">
        <v>11.8</v>
      </c>
      <c r="O51" s="74">
        <v>11.8</v>
      </c>
      <c r="P51" s="74">
        <v>11.8</v>
      </c>
      <c r="Q51" s="74">
        <v>11.8</v>
      </c>
      <c r="R51" s="74">
        <v>11.8</v>
      </c>
      <c r="S51" s="74">
        <v>11.8</v>
      </c>
      <c r="T51" s="74">
        <v>11.8</v>
      </c>
      <c r="U51" s="74">
        <v>11.8</v>
      </c>
      <c r="V51" s="74">
        <v>11.8</v>
      </c>
      <c r="W51" s="74">
        <v>11.8</v>
      </c>
      <c r="X51" s="74">
        <v>11.8</v>
      </c>
      <c r="Y51" s="74">
        <v>11.8</v>
      </c>
      <c r="Z51" s="74">
        <v>11.7</v>
      </c>
      <c r="AA51" s="74">
        <v>11.7</v>
      </c>
      <c r="AB51" s="74">
        <v>11.7</v>
      </c>
      <c r="AC51" s="74">
        <v>11.7</v>
      </c>
      <c r="AD51" s="74">
        <v>11.7</v>
      </c>
      <c r="AE51" s="74">
        <v>11.7</v>
      </c>
      <c r="AF51" s="74">
        <v>11.7</v>
      </c>
      <c r="AG51" s="75">
        <v>22.1</v>
      </c>
      <c r="AH51" s="52">
        <f t="shared" si="2"/>
        <v>11.8</v>
      </c>
      <c r="AI51" s="53">
        <f t="shared" si="3"/>
        <v>10.8</v>
      </c>
      <c r="AK51" s="54"/>
    </row>
    <row r="52" spans="1:41" ht="15.75" thickBot="1" x14ac:dyDescent="0.3">
      <c r="A52" s="76" t="s">
        <v>60</v>
      </c>
      <c r="B52" s="67">
        <f t="shared" ref="B52" si="10">SUM(B49:B51)</f>
        <v>70.8</v>
      </c>
      <c r="C52" s="67">
        <f t="shared" ref="C52:AG52" si="11">SUM(C49:C51)</f>
        <v>361.8</v>
      </c>
      <c r="D52" s="67">
        <f t="shared" ref="D52" si="12">SUM(D49:D51)</f>
        <v>416.8</v>
      </c>
      <c r="E52" s="67">
        <f t="shared" si="11"/>
        <v>416.8</v>
      </c>
      <c r="F52" s="67">
        <f t="shared" si="11"/>
        <v>384.7</v>
      </c>
      <c r="G52" s="67">
        <f t="shared" si="11"/>
        <v>321.8</v>
      </c>
      <c r="H52" s="67">
        <f t="shared" si="11"/>
        <v>241.8</v>
      </c>
      <c r="I52" s="67">
        <f t="shared" si="11"/>
        <v>241.8</v>
      </c>
      <c r="J52" s="67">
        <f t="shared" si="11"/>
        <v>141.80000000000001</v>
      </c>
      <c r="K52" s="67">
        <f t="shared" si="11"/>
        <v>121.8</v>
      </c>
      <c r="L52" s="67">
        <f t="shared" si="11"/>
        <v>123.39999999999999</v>
      </c>
      <c r="M52" s="67">
        <f t="shared" si="11"/>
        <v>111.8</v>
      </c>
      <c r="N52" s="67">
        <f t="shared" si="11"/>
        <v>81.8</v>
      </c>
      <c r="O52" s="67">
        <f t="shared" ref="O52" si="13">SUM(O49:O51)</f>
        <v>81.8</v>
      </c>
      <c r="P52" s="67">
        <f t="shared" si="11"/>
        <v>121.8</v>
      </c>
      <c r="Q52" s="67">
        <f t="shared" si="11"/>
        <v>121.8</v>
      </c>
      <c r="R52" s="67">
        <f t="shared" si="11"/>
        <v>121.8</v>
      </c>
      <c r="S52" s="67">
        <f t="shared" si="11"/>
        <v>81.8</v>
      </c>
      <c r="T52" s="67">
        <f t="shared" si="11"/>
        <v>41.8</v>
      </c>
      <c r="U52" s="67">
        <f t="shared" si="11"/>
        <v>41.8</v>
      </c>
      <c r="V52" s="67">
        <f t="shared" si="11"/>
        <v>41.8</v>
      </c>
      <c r="W52" s="67">
        <f t="shared" si="11"/>
        <v>41.8</v>
      </c>
      <c r="X52" s="67">
        <f t="shared" ref="X52" si="14">SUM(X49:X51)</f>
        <v>41.8</v>
      </c>
      <c r="Y52" s="67">
        <f t="shared" si="11"/>
        <v>45.8</v>
      </c>
      <c r="Z52" s="67">
        <f t="shared" si="11"/>
        <v>245.7</v>
      </c>
      <c r="AA52" s="67">
        <f t="shared" si="11"/>
        <v>245.7</v>
      </c>
      <c r="AB52" s="67">
        <f t="shared" si="11"/>
        <v>215.7</v>
      </c>
      <c r="AC52" s="67">
        <f t="shared" si="11"/>
        <v>235.7</v>
      </c>
      <c r="AD52" s="67">
        <f t="shared" si="11"/>
        <v>245.7</v>
      </c>
      <c r="AE52" s="67">
        <f t="shared" si="11"/>
        <v>175.7</v>
      </c>
      <c r="AF52" s="67">
        <f t="shared" si="11"/>
        <v>135.69999999999999</v>
      </c>
      <c r="AG52" s="68">
        <f t="shared" si="11"/>
        <v>538.1</v>
      </c>
      <c r="AH52" s="52">
        <f t="shared" si="2"/>
        <v>416.8</v>
      </c>
      <c r="AI52" s="53">
        <f t="shared" si="3"/>
        <v>41.8</v>
      </c>
      <c r="AK52" s="54"/>
    </row>
    <row r="53" spans="1:41" x14ac:dyDescent="0.25">
      <c r="A53" s="49" t="s">
        <v>61</v>
      </c>
      <c r="B53" s="50">
        <v>60.1</v>
      </c>
      <c r="C53" s="50">
        <v>60.5</v>
      </c>
      <c r="D53" s="50">
        <v>30.5</v>
      </c>
      <c r="E53" s="50">
        <v>46.4</v>
      </c>
      <c r="F53" s="50">
        <v>40.5</v>
      </c>
      <c r="G53" s="50">
        <v>73.8</v>
      </c>
      <c r="H53" s="50">
        <v>86</v>
      </c>
      <c r="I53" s="50">
        <v>86</v>
      </c>
      <c r="J53" s="50">
        <v>86.1</v>
      </c>
      <c r="K53" s="50">
        <v>86.1</v>
      </c>
      <c r="L53" s="50">
        <v>86.2</v>
      </c>
      <c r="M53" s="50">
        <v>86</v>
      </c>
      <c r="N53" s="50">
        <v>31</v>
      </c>
      <c r="O53" s="50">
        <v>20</v>
      </c>
      <c r="P53" s="50">
        <v>81</v>
      </c>
      <c r="Q53" s="50">
        <v>81</v>
      </c>
      <c r="R53" s="50">
        <v>81</v>
      </c>
      <c r="S53" s="50">
        <v>60.8</v>
      </c>
      <c r="T53" s="50">
        <v>71.099999999999994</v>
      </c>
      <c r="U53" s="50">
        <v>70.900000000000006</v>
      </c>
      <c r="V53" s="50">
        <v>70.900000000000006</v>
      </c>
      <c r="W53" s="50">
        <v>30.4</v>
      </c>
      <c r="X53" s="50">
        <v>43.2</v>
      </c>
      <c r="Y53" s="50">
        <v>45.5</v>
      </c>
      <c r="Z53" s="50">
        <v>121.3</v>
      </c>
      <c r="AA53" s="50">
        <v>121.3</v>
      </c>
      <c r="AB53" s="50">
        <v>121.3</v>
      </c>
      <c r="AC53" s="50">
        <v>131.4</v>
      </c>
      <c r="AD53" s="50">
        <v>111.2</v>
      </c>
      <c r="AE53" s="50">
        <v>64</v>
      </c>
      <c r="AF53" s="50">
        <v>60</v>
      </c>
      <c r="AG53" s="56">
        <v>144</v>
      </c>
      <c r="AH53" s="52">
        <f t="shared" si="2"/>
        <v>131.4</v>
      </c>
      <c r="AI53" s="53">
        <f t="shared" si="3"/>
        <v>20</v>
      </c>
      <c r="AK53" s="54"/>
    </row>
    <row r="54" spans="1:41" x14ac:dyDescent="0.25">
      <c r="A54" s="60" t="s">
        <v>62</v>
      </c>
      <c r="B54" s="72">
        <v>26.1</v>
      </c>
      <c r="C54" s="72">
        <v>35.299999999999997</v>
      </c>
      <c r="D54" s="72">
        <v>26.1</v>
      </c>
      <c r="E54" s="72">
        <v>22</v>
      </c>
      <c r="F54" s="72">
        <v>0</v>
      </c>
      <c r="G54" s="72">
        <v>33.799999999999997</v>
      </c>
      <c r="H54" s="72">
        <v>33.799999999999997</v>
      </c>
      <c r="I54" s="72">
        <v>33.799999999999997</v>
      </c>
      <c r="J54" s="72">
        <v>33.799999999999997</v>
      </c>
      <c r="K54" s="72">
        <v>33.799999999999997</v>
      </c>
      <c r="L54" s="72">
        <v>33.799999999999997</v>
      </c>
      <c r="M54" s="72">
        <v>33.799999999999997</v>
      </c>
      <c r="N54" s="72">
        <v>33.799999999999997</v>
      </c>
      <c r="O54" s="72">
        <v>33.799999999999997</v>
      </c>
      <c r="P54" s="72">
        <v>50.8</v>
      </c>
      <c r="Q54" s="72">
        <v>50.8</v>
      </c>
      <c r="R54" s="72">
        <v>50.8</v>
      </c>
      <c r="S54" s="50">
        <v>25.9</v>
      </c>
      <c r="T54" s="50">
        <v>25.8</v>
      </c>
      <c r="U54" s="50">
        <v>25.8</v>
      </c>
      <c r="V54" s="50">
        <v>25.8</v>
      </c>
      <c r="W54" s="50">
        <v>25.3</v>
      </c>
      <c r="X54" s="50">
        <v>24.7</v>
      </c>
      <c r="Y54" s="50">
        <v>29.7</v>
      </c>
      <c r="Z54" s="50">
        <v>59.2</v>
      </c>
      <c r="AA54" s="50">
        <v>60.5</v>
      </c>
      <c r="AB54" s="50">
        <v>60.5</v>
      </c>
      <c r="AC54" s="50">
        <v>60.5</v>
      </c>
      <c r="AD54" s="50">
        <v>50.8</v>
      </c>
      <c r="AE54" s="50">
        <v>50.8</v>
      </c>
      <c r="AF54" s="50">
        <v>50.1</v>
      </c>
      <c r="AG54" s="61">
        <v>70</v>
      </c>
      <c r="AH54" s="52">
        <f t="shared" si="2"/>
        <v>60.5</v>
      </c>
      <c r="AI54" s="53">
        <f t="shared" si="3"/>
        <v>0</v>
      </c>
      <c r="AK54" s="54"/>
    </row>
    <row r="55" spans="1:41" x14ac:dyDescent="0.25">
      <c r="A55" s="60" t="s">
        <v>63</v>
      </c>
      <c r="B55" s="72">
        <v>34</v>
      </c>
      <c r="C55" s="72">
        <v>46.1</v>
      </c>
      <c r="D55" s="72">
        <v>32</v>
      </c>
      <c r="E55" s="72">
        <v>22.8</v>
      </c>
      <c r="F55" s="72">
        <v>47.5</v>
      </c>
      <c r="G55" s="72">
        <v>64.099999999999994</v>
      </c>
      <c r="H55" s="72">
        <v>62</v>
      </c>
      <c r="I55" s="72">
        <v>61.7</v>
      </c>
      <c r="J55" s="72">
        <v>61.7</v>
      </c>
      <c r="K55" s="72">
        <v>61.7</v>
      </c>
      <c r="L55" s="72">
        <v>61.7</v>
      </c>
      <c r="M55" s="72">
        <v>61.4</v>
      </c>
      <c r="N55" s="72">
        <v>34.6</v>
      </c>
      <c r="O55" s="72">
        <v>16</v>
      </c>
      <c r="P55" s="72">
        <v>22.6</v>
      </c>
      <c r="Q55" s="72">
        <v>22.6</v>
      </c>
      <c r="R55" s="72">
        <v>22.6</v>
      </c>
      <c r="S55" s="50">
        <v>16.2</v>
      </c>
      <c r="T55" s="50">
        <v>16.2</v>
      </c>
      <c r="U55" s="50">
        <v>16.2</v>
      </c>
      <c r="V55" s="50">
        <v>16.2</v>
      </c>
      <c r="W55" s="50">
        <v>22</v>
      </c>
      <c r="X55" s="50">
        <v>22</v>
      </c>
      <c r="Y55" s="50">
        <v>21.6</v>
      </c>
      <c r="Z55" s="50">
        <v>67.099999999999994</v>
      </c>
      <c r="AA55" s="50">
        <v>65.900000000000006</v>
      </c>
      <c r="AB55" s="50">
        <v>50.8</v>
      </c>
      <c r="AC55" s="50">
        <v>50.8</v>
      </c>
      <c r="AD55" s="50">
        <v>51.6</v>
      </c>
      <c r="AE55" s="50">
        <v>51.6</v>
      </c>
      <c r="AF55" s="50">
        <v>51.6</v>
      </c>
      <c r="AG55" s="61">
        <v>69</v>
      </c>
      <c r="AH55" s="52">
        <f t="shared" si="2"/>
        <v>67.099999999999994</v>
      </c>
      <c r="AI55" s="53">
        <f t="shared" si="3"/>
        <v>16</v>
      </c>
      <c r="AK55" s="54"/>
    </row>
    <row r="56" spans="1:41" x14ac:dyDescent="0.25">
      <c r="A56" s="60" t="s">
        <v>64</v>
      </c>
      <c r="B56" s="72">
        <v>38.5</v>
      </c>
      <c r="C56" s="72">
        <v>40.6</v>
      </c>
      <c r="D56" s="72">
        <v>40.6</v>
      </c>
      <c r="E56" s="72">
        <v>40.6</v>
      </c>
      <c r="F56" s="72">
        <v>40.6</v>
      </c>
      <c r="G56" s="72">
        <v>40.6</v>
      </c>
      <c r="H56" s="63">
        <v>40.299999999999997</v>
      </c>
      <c r="I56" s="63">
        <v>40.299999999999997</v>
      </c>
      <c r="J56" s="63">
        <v>40.299999999999997</v>
      </c>
      <c r="K56" s="63">
        <v>40.299999999999997</v>
      </c>
      <c r="L56" s="63">
        <v>40.299999999999997</v>
      </c>
      <c r="M56" s="63">
        <v>40.299999999999997</v>
      </c>
      <c r="N56" s="63">
        <v>40.299999999999997</v>
      </c>
      <c r="O56" s="63">
        <v>40.299999999999997</v>
      </c>
      <c r="P56" s="63">
        <v>40.299999999999997</v>
      </c>
      <c r="Q56" s="63">
        <v>40.299999999999997</v>
      </c>
      <c r="R56" s="63">
        <v>40.299999999999997</v>
      </c>
      <c r="S56" s="50">
        <v>40.299999999999997</v>
      </c>
      <c r="T56" s="50">
        <v>40.299999999999997</v>
      </c>
      <c r="U56" s="50">
        <v>40.299999999999997</v>
      </c>
      <c r="V56" s="50">
        <v>40.299999999999997</v>
      </c>
      <c r="W56" s="50">
        <v>40.299999999999997</v>
      </c>
      <c r="X56" s="50">
        <v>40.299999999999997</v>
      </c>
      <c r="Y56" s="50">
        <v>41</v>
      </c>
      <c r="Z56" s="50">
        <v>41.3</v>
      </c>
      <c r="AA56" s="50">
        <v>41.3</v>
      </c>
      <c r="AB56" s="50">
        <v>48.3</v>
      </c>
      <c r="AC56" s="50">
        <v>50</v>
      </c>
      <c r="AD56" s="50">
        <v>50</v>
      </c>
      <c r="AE56" s="50">
        <v>50</v>
      </c>
      <c r="AF56" s="50">
        <v>50</v>
      </c>
      <c r="AG56" s="61">
        <v>60</v>
      </c>
      <c r="AH56" s="52">
        <f t="shared" si="2"/>
        <v>50</v>
      </c>
      <c r="AI56" s="53">
        <f t="shared" si="3"/>
        <v>38.5</v>
      </c>
      <c r="AK56" s="54"/>
    </row>
    <row r="57" spans="1:41" x14ac:dyDescent="0.25">
      <c r="A57" s="60" t="s">
        <v>65</v>
      </c>
      <c r="B57" s="72">
        <v>0</v>
      </c>
      <c r="C57" s="72">
        <v>0</v>
      </c>
      <c r="D57" s="72">
        <v>0</v>
      </c>
      <c r="E57" s="72">
        <v>0</v>
      </c>
      <c r="F57" s="72">
        <v>10</v>
      </c>
      <c r="G57" s="72">
        <v>10</v>
      </c>
      <c r="H57" s="63">
        <v>10.5</v>
      </c>
      <c r="I57" s="63">
        <v>10.3</v>
      </c>
      <c r="J57" s="63">
        <v>15</v>
      </c>
      <c r="K57" s="63">
        <v>15</v>
      </c>
      <c r="L57" s="63">
        <v>15</v>
      </c>
      <c r="M57" s="63">
        <v>15</v>
      </c>
      <c r="N57" s="63">
        <v>15</v>
      </c>
      <c r="O57" s="63">
        <v>10</v>
      </c>
      <c r="P57" s="63">
        <v>10</v>
      </c>
      <c r="Q57" s="63">
        <v>10</v>
      </c>
      <c r="R57" s="63">
        <v>10</v>
      </c>
      <c r="S57" s="50">
        <v>15</v>
      </c>
      <c r="T57" s="50">
        <v>10</v>
      </c>
      <c r="U57" s="50">
        <v>10</v>
      </c>
      <c r="V57" s="50">
        <v>10</v>
      </c>
      <c r="W57" s="50">
        <v>10</v>
      </c>
      <c r="X57" s="50">
        <v>10</v>
      </c>
      <c r="Y57" s="50">
        <v>10</v>
      </c>
      <c r="Z57" s="50">
        <v>19.399999999999999</v>
      </c>
      <c r="AA57" s="50">
        <v>20</v>
      </c>
      <c r="AB57" s="50">
        <v>20</v>
      </c>
      <c r="AC57" s="50">
        <v>20</v>
      </c>
      <c r="AD57" s="50">
        <v>20</v>
      </c>
      <c r="AE57" s="50">
        <v>15</v>
      </c>
      <c r="AF57" s="50">
        <v>13</v>
      </c>
      <c r="AG57" s="61">
        <v>30</v>
      </c>
      <c r="AH57" s="52">
        <f t="shared" si="2"/>
        <v>20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0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15</v>
      </c>
      <c r="C59" s="72">
        <v>15</v>
      </c>
      <c r="D59" s="72">
        <v>15</v>
      </c>
      <c r="E59" s="72">
        <v>15</v>
      </c>
      <c r="F59" s="72">
        <v>15</v>
      </c>
      <c r="G59" s="72">
        <v>15</v>
      </c>
      <c r="H59" s="72">
        <v>15</v>
      </c>
      <c r="I59" s="72">
        <v>15</v>
      </c>
      <c r="J59" s="72">
        <v>15</v>
      </c>
      <c r="K59" s="72">
        <v>15</v>
      </c>
      <c r="L59" s="72">
        <v>15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15</v>
      </c>
      <c r="S59" s="72">
        <v>15</v>
      </c>
      <c r="T59" s="72">
        <v>15</v>
      </c>
      <c r="U59" s="72">
        <v>15</v>
      </c>
      <c r="V59" s="72">
        <v>15</v>
      </c>
      <c r="W59" s="72">
        <v>15</v>
      </c>
      <c r="X59" s="72">
        <v>15</v>
      </c>
      <c r="Y59" s="72">
        <v>15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15</v>
      </c>
      <c r="AI59" s="53">
        <f t="shared" si="3"/>
        <v>15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8.3000000000000007</v>
      </c>
      <c r="C61" s="72">
        <v>8.6999999999999993</v>
      </c>
      <c r="D61" s="72">
        <v>8.8000000000000007</v>
      </c>
      <c r="E61" s="72">
        <v>8.8000000000000007</v>
      </c>
      <c r="F61" s="72">
        <v>8.8000000000000007</v>
      </c>
      <c r="G61" s="72">
        <v>8.8000000000000007</v>
      </c>
      <c r="H61" s="72">
        <v>8.8000000000000007</v>
      </c>
      <c r="I61" s="72">
        <v>8.8000000000000007</v>
      </c>
      <c r="J61" s="72">
        <v>8.8000000000000007</v>
      </c>
      <c r="K61" s="72">
        <v>8.8000000000000007</v>
      </c>
      <c r="L61" s="72">
        <v>8.8000000000000007</v>
      </c>
      <c r="M61" s="72">
        <v>8.8000000000000007</v>
      </c>
      <c r="N61" s="72">
        <v>8.8000000000000007</v>
      </c>
      <c r="O61" s="72">
        <v>8.8000000000000007</v>
      </c>
      <c r="P61" s="72">
        <v>8.8000000000000007</v>
      </c>
      <c r="Q61" s="72">
        <v>8.8000000000000007</v>
      </c>
      <c r="R61" s="72">
        <v>8.8000000000000007</v>
      </c>
      <c r="S61" s="72">
        <v>8.8000000000000007</v>
      </c>
      <c r="T61" s="72">
        <v>8.8000000000000007</v>
      </c>
      <c r="U61" s="72">
        <v>8.8000000000000007</v>
      </c>
      <c r="V61" s="72">
        <v>8.8000000000000007</v>
      </c>
      <c r="W61" s="72">
        <v>8.8000000000000007</v>
      </c>
      <c r="X61" s="72">
        <v>8.8000000000000007</v>
      </c>
      <c r="Y61" s="72">
        <v>8.8000000000000007</v>
      </c>
      <c r="Z61" s="72">
        <v>8.8000000000000007</v>
      </c>
      <c r="AA61" s="72">
        <v>8.8000000000000007</v>
      </c>
      <c r="AB61" s="72">
        <v>8.8000000000000007</v>
      </c>
      <c r="AC61" s="72">
        <v>8.8000000000000007</v>
      </c>
      <c r="AD61" s="72">
        <v>8.8000000000000007</v>
      </c>
      <c r="AE61" s="72">
        <v>8.8000000000000007</v>
      </c>
      <c r="AF61" s="72">
        <v>8.8000000000000007</v>
      </c>
      <c r="AG61" s="61">
        <v>14.1</v>
      </c>
      <c r="AH61" s="52">
        <f t="shared" si="2"/>
        <v>8.8000000000000007</v>
      </c>
      <c r="AI61" s="53">
        <f t="shared" si="3"/>
        <v>8.3000000000000007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6</v>
      </c>
      <c r="C62" s="72">
        <v>6</v>
      </c>
      <c r="D62" s="72">
        <v>6</v>
      </c>
      <c r="E62" s="72">
        <v>6</v>
      </c>
      <c r="F62" s="72">
        <v>6</v>
      </c>
      <c r="G62" s="72">
        <v>6</v>
      </c>
      <c r="H62" s="72">
        <v>6</v>
      </c>
      <c r="I62" s="72">
        <v>6</v>
      </c>
      <c r="J62" s="72">
        <v>6</v>
      </c>
      <c r="K62" s="72">
        <v>6</v>
      </c>
      <c r="L62" s="72">
        <v>6</v>
      </c>
      <c r="M62" s="72">
        <v>6</v>
      </c>
      <c r="N62" s="72">
        <v>6</v>
      </c>
      <c r="O62" s="72">
        <v>6</v>
      </c>
      <c r="P62" s="72">
        <v>6</v>
      </c>
      <c r="Q62" s="72">
        <v>6</v>
      </c>
      <c r="R62" s="72">
        <v>6</v>
      </c>
      <c r="S62" s="72">
        <v>6</v>
      </c>
      <c r="T62" s="72">
        <v>6</v>
      </c>
      <c r="U62" s="72">
        <v>6</v>
      </c>
      <c r="V62" s="72">
        <v>6</v>
      </c>
      <c r="W62" s="72">
        <v>6</v>
      </c>
      <c r="X62" s="72">
        <v>6</v>
      </c>
      <c r="Y62" s="72">
        <v>6</v>
      </c>
      <c r="Z62" s="72">
        <v>6</v>
      </c>
      <c r="AA62" s="72">
        <v>6</v>
      </c>
      <c r="AB62" s="72">
        <v>6</v>
      </c>
      <c r="AC62" s="72">
        <v>6</v>
      </c>
      <c r="AD62" s="72">
        <v>6</v>
      </c>
      <c r="AE62" s="72">
        <v>6</v>
      </c>
      <c r="AF62" s="72">
        <v>6</v>
      </c>
      <c r="AG62" s="61">
        <v>14</v>
      </c>
      <c r="AH62" s="52">
        <f t="shared" si="2"/>
        <v>6</v>
      </c>
      <c r="AI62" s="53">
        <f t="shared" si="3"/>
        <v>6</v>
      </c>
      <c r="AK62" s="54"/>
    </row>
    <row r="63" spans="1:41" x14ac:dyDescent="0.25">
      <c r="A63" s="60" t="s">
        <v>71</v>
      </c>
      <c r="B63" s="72">
        <v>3</v>
      </c>
      <c r="C63" s="72">
        <v>3</v>
      </c>
      <c r="D63" s="72">
        <v>3</v>
      </c>
      <c r="E63" s="72">
        <v>3</v>
      </c>
      <c r="F63" s="72">
        <v>3</v>
      </c>
      <c r="G63" s="72">
        <v>3</v>
      </c>
      <c r="H63" s="72">
        <v>3</v>
      </c>
      <c r="I63" s="72">
        <v>3</v>
      </c>
      <c r="J63" s="72">
        <v>3</v>
      </c>
      <c r="K63" s="72">
        <v>3</v>
      </c>
      <c r="L63" s="72">
        <v>3</v>
      </c>
      <c r="M63" s="72">
        <v>3</v>
      </c>
      <c r="N63" s="72">
        <v>3</v>
      </c>
      <c r="O63" s="72">
        <v>3</v>
      </c>
      <c r="P63" s="72">
        <v>3</v>
      </c>
      <c r="Q63" s="72">
        <v>3</v>
      </c>
      <c r="R63" s="72">
        <v>3</v>
      </c>
      <c r="S63" s="72">
        <v>3</v>
      </c>
      <c r="T63" s="72">
        <v>3</v>
      </c>
      <c r="U63" s="72">
        <v>3</v>
      </c>
      <c r="V63" s="72">
        <v>3</v>
      </c>
      <c r="W63" s="72">
        <v>3</v>
      </c>
      <c r="X63" s="72">
        <v>3</v>
      </c>
      <c r="Y63" s="72">
        <v>3</v>
      </c>
      <c r="Z63" s="72">
        <v>3</v>
      </c>
      <c r="AA63" s="72">
        <v>3</v>
      </c>
      <c r="AB63" s="72">
        <v>3</v>
      </c>
      <c r="AC63" s="72">
        <v>3</v>
      </c>
      <c r="AD63" s="72">
        <v>3</v>
      </c>
      <c r="AE63" s="72">
        <v>3</v>
      </c>
      <c r="AF63" s="72">
        <v>3</v>
      </c>
      <c r="AG63" s="61">
        <v>10.050000000000001</v>
      </c>
      <c r="AH63" s="52">
        <f t="shared" si="2"/>
        <v>3</v>
      </c>
      <c r="AI63" s="53">
        <f t="shared" si="3"/>
        <v>3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" si="15">SUM(B53:B65)</f>
        <v>196.54</v>
      </c>
      <c r="C66" s="67">
        <f t="shared" ref="C66:AG66" si="16">SUM(C53:C65)</f>
        <v>220.73999999999998</v>
      </c>
      <c r="D66" s="67">
        <f t="shared" ref="D66" si="17">SUM(D53:D65)</f>
        <v>167.54</v>
      </c>
      <c r="E66" s="67">
        <f t="shared" si="16"/>
        <v>170.14000000000001</v>
      </c>
      <c r="F66" s="67">
        <f t="shared" si="16"/>
        <v>176.94</v>
      </c>
      <c r="G66" s="67">
        <f t="shared" si="16"/>
        <v>260.64000000000004</v>
      </c>
      <c r="H66" s="67">
        <f t="shared" si="16"/>
        <v>270.94000000000005</v>
      </c>
      <c r="I66" s="67">
        <f t="shared" si="16"/>
        <v>270.44000000000005</v>
      </c>
      <c r="J66" s="67">
        <f t="shared" si="16"/>
        <v>275.24</v>
      </c>
      <c r="K66" s="67">
        <f t="shared" si="16"/>
        <v>275.24</v>
      </c>
      <c r="L66" s="67">
        <f t="shared" si="16"/>
        <v>275.34000000000003</v>
      </c>
      <c r="M66" s="67">
        <f t="shared" si="16"/>
        <v>274.84000000000003</v>
      </c>
      <c r="N66" s="67">
        <f t="shared" si="16"/>
        <v>193.04</v>
      </c>
      <c r="O66" s="67">
        <f t="shared" si="16"/>
        <v>158.44</v>
      </c>
      <c r="P66" s="67">
        <f t="shared" si="16"/>
        <v>243.04</v>
      </c>
      <c r="Q66" s="67">
        <f t="shared" si="16"/>
        <v>243.04</v>
      </c>
      <c r="R66" s="67">
        <f t="shared" si="16"/>
        <v>243.04</v>
      </c>
      <c r="S66" s="67">
        <f t="shared" si="16"/>
        <v>196.54</v>
      </c>
      <c r="T66" s="67">
        <f t="shared" si="16"/>
        <v>201.73999999999998</v>
      </c>
      <c r="U66" s="67">
        <f t="shared" si="16"/>
        <v>201.54</v>
      </c>
      <c r="V66" s="67">
        <f t="shared" si="16"/>
        <v>201.54</v>
      </c>
      <c r="W66" s="67">
        <f t="shared" si="16"/>
        <v>166.34</v>
      </c>
      <c r="X66" s="67">
        <f t="shared" si="16"/>
        <v>178.54</v>
      </c>
      <c r="Y66" s="67">
        <f t="shared" si="16"/>
        <v>186.14000000000001</v>
      </c>
      <c r="Z66" s="67">
        <f t="shared" si="16"/>
        <v>346.64</v>
      </c>
      <c r="AA66" s="67">
        <f t="shared" si="16"/>
        <v>347.34000000000003</v>
      </c>
      <c r="AB66" s="67">
        <f t="shared" si="16"/>
        <v>339.24000000000007</v>
      </c>
      <c r="AC66" s="67">
        <f t="shared" si="16"/>
        <v>351.04</v>
      </c>
      <c r="AD66" s="67">
        <f t="shared" si="16"/>
        <v>321.94000000000005</v>
      </c>
      <c r="AE66" s="67">
        <f t="shared" si="16"/>
        <v>269.74000000000007</v>
      </c>
      <c r="AF66" s="67">
        <f t="shared" si="16"/>
        <v>263.04000000000002</v>
      </c>
      <c r="AG66" s="68">
        <f t="shared" si="16"/>
        <v>489.91</v>
      </c>
      <c r="AH66" s="52">
        <f t="shared" si="2"/>
        <v>351.04</v>
      </c>
      <c r="AI66" s="53">
        <f t="shared" si="3"/>
        <v>158.44</v>
      </c>
      <c r="AK66" s="54"/>
    </row>
    <row r="67" spans="1:40" x14ac:dyDescent="0.25">
      <c r="A67" s="49" t="s">
        <v>75</v>
      </c>
      <c r="B67" s="50">
        <v>14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40</v>
      </c>
      <c r="I67" s="50">
        <v>60</v>
      </c>
      <c r="J67" s="50">
        <v>60</v>
      </c>
      <c r="K67" s="50">
        <v>60</v>
      </c>
      <c r="L67" s="50">
        <v>60</v>
      </c>
      <c r="M67" s="50">
        <v>60</v>
      </c>
      <c r="N67" s="50">
        <v>60</v>
      </c>
      <c r="O67" s="50">
        <v>60</v>
      </c>
      <c r="P67" s="50">
        <v>60</v>
      </c>
      <c r="Q67" s="50">
        <v>60</v>
      </c>
      <c r="R67" s="50">
        <v>60</v>
      </c>
      <c r="S67" s="50">
        <v>60</v>
      </c>
      <c r="T67" s="50">
        <v>60</v>
      </c>
      <c r="U67" s="50">
        <v>60</v>
      </c>
      <c r="V67" s="50">
        <v>60</v>
      </c>
      <c r="W67" s="50">
        <v>60</v>
      </c>
      <c r="X67" s="50">
        <v>60</v>
      </c>
      <c r="Y67" s="50">
        <v>60</v>
      </c>
      <c r="Z67" s="50">
        <v>40</v>
      </c>
      <c r="AA67" s="50">
        <v>30</v>
      </c>
      <c r="AB67" s="50">
        <v>30</v>
      </c>
      <c r="AC67" s="50">
        <v>0</v>
      </c>
      <c r="AD67" s="50">
        <v>0</v>
      </c>
      <c r="AE67" s="50">
        <v>0</v>
      </c>
      <c r="AF67" s="50">
        <v>0</v>
      </c>
      <c r="AG67" s="56">
        <v>60</v>
      </c>
      <c r="AH67" s="52">
        <f t="shared" si="2"/>
        <v>60</v>
      </c>
      <c r="AI67" s="53">
        <f t="shared" si="3"/>
        <v>0</v>
      </c>
      <c r="AK67" s="54"/>
    </row>
    <row r="68" spans="1:40" x14ac:dyDescent="0.25">
      <c r="A68" s="60" t="s">
        <v>76</v>
      </c>
      <c r="B68" s="72">
        <v>4.8</v>
      </c>
      <c r="C68" s="72">
        <v>0</v>
      </c>
      <c r="D68" s="72">
        <v>0</v>
      </c>
      <c r="E68" s="72">
        <v>0</v>
      </c>
      <c r="F68" s="72">
        <v>0</v>
      </c>
      <c r="G68" s="72">
        <v>0</v>
      </c>
      <c r="H68" s="72">
        <v>24</v>
      </c>
      <c r="I68" s="72">
        <v>27.7</v>
      </c>
      <c r="J68" s="72">
        <v>29.6</v>
      </c>
      <c r="K68" s="72">
        <v>29.5</v>
      </c>
      <c r="L68" s="72">
        <v>29.5</v>
      </c>
      <c r="M68" s="72">
        <v>28.7</v>
      </c>
      <c r="N68" s="72">
        <v>28.7</v>
      </c>
      <c r="O68" s="72">
        <v>29.2</v>
      </c>
      <c r="P68" s="72">
        <v>28</v>
      </c>
      <c r="Q68" s="50">
        <v>28</v>
      </c>
      <c r="R68" s="50">
        <v>28</v>
      </c>
      <c r="S68" s="50">
        <v>29.3</v>
      </c>
      <c r="T68" s="50">
        <v>29.5</v>
      </c>
      <c r="U68" s="50">
        <v>29.5</v>
      </c>
      <c r="V68" s="50">
        <v>29.5</v>
      </c>
      <c r="W68" s="50">
        <v>29.5</v>
      </c>
      <c r="X68" s="50">
        <v>29.5</v>
      </c>
      <c r="Y68" s="50">
        <v>29.5</v>
      </c>
      <c r="Z68" s="72">
        <v>18.100000000000001</v>
      </c>
      <c r="AA68" s="72">
        <v>13.7</v>
      </c>
      <c r="AB68" s="72">
        <v>13.7</v>
      </c>
      <c r="AC68" s="72">
        <v>4.7</v>
      </c>
      <c r="AD68" s="72">
        <v>0</v>
      </c>
      <c r="AE68" s="72">
        <v>0</v>
      </c>
      <c r="AF68" s="50">
        <v>0</v>
      </c>
      <c r="AG68" s="61">
        <v>32</v>
      </c>
      <c r="AH68" s="52">
        <f t="shared" si="2"/>
        <v>29.6</v>
      </c>
      <c r="AI68" s="53">
        <f t="shared" si="3"/>
        <v>0</v>
      </c>
      <c r="AK68" s="54"/>
    </row>
    <row r="69" spans="1:40" ht="15.75" thickBot="1" x14ac:dyDescent="0.3">
      <c r="A69" s="78" t="s">
        <v>77</v>
      </c>
      <c r="B69" s="74">
        <v>1.7</v>
      </c>
      <c r="C69" s="74">
        <v>0</v>
      </c>
      <c r="D69" s="74">
        <v>0</v>
      </c>
      <c r="E69" s="74">
        <v>0</v>
      </c>
      <c r="F69" s="74">
        <v>0</v>
      </c>
      <c r="G69" s="74">
        <v>0</v>
      </c>
      <c r="H69" s="74">
        <v>8</v>
      </c>
      <c r="I69" s="74">
        <v>10.1</v>
      </c>
      <c r="J69" s="74">
        <v>10.8</v>
      </c>
      <c r="K69" s="74">
        <v>10.8</v>
      </c>
      <c r="L69" s="74">
        <v>10.8</v>
      </c>
      <c r="M69" s="74">
        <v>10.5</v>
      </c>
      <c r="N69" s="74">
        <v>10.5</v>
      </c>
      <c r="O69" s="74">
        <v>10.7</v>
      </c>
      <c r="P69" s="74">
        <v>10.4</v>
      </c>
      <c r="Q69" s="50">
        <v>10.4</v>
      </c>
      <c r="R69" s="50">
        <v>10.4</v>
      </c>
      <c r="S69" s="50">
        <v>10.7</v>
      </c>
      <c r="T69" s="50">
        <v>10.8</v>
      </c>
      <c r="U69" s="50">
        <v>10.8</v>
      </c>
      <c r="V69" s="50">
        <v>10.8</v>
      </c>
      <c r="W69" s="50">
        <v>10.8</v>
      </c>
      <c r="X69" s="50">
        <v>10.8</v>
      </c>
      <c r="Y69" s="50">
        <v>10.8</v>
      </c>
      <c r="Z69" s="74">
        <v>6.5</v>
      </c>
      <c r="AA69" s="74">
        <v>4.9000000000000004</v>
      </c>
      <c r="AB69" s="74">
        <v>4.9000000000000004</v>
      </c>
      <c r="AC69" s="74">
        <v>1.7</v>
      </c>
      <c r="AD69" s="74">
        <v>0</v>
      </c>
      <c r="AE69" s="74">
        <v>0</v>
      </c>
      <c r="AF69" s="50">
        <v>0</v>
      </c>
      <c r="AG69" s="75">
        <v>14</v>
      </c>
      <c r="AH69" s="52">
        <f t="shared" si="2"/>
        <v>10.8</v>
      </c>
      <c r="AI69" s="53">
        <f t="shared" si="3"/>
        <v>0</v>
      </c>
      <c r="AK69" s="54"/>
    </row>
    <row r="70" spans="1:40" ht="15.75" thickBot="1" x14ac:dyDescent="0.3">
      <c r="A70" s="81" t="s">
        <v>78</v>
      </c>
      <c r="B70" s="67">
        <f t="shared" ref="B70:L70" si="18">B67+B68+B69</f>
        <v>20.5</v>
      </c>
      <c r="C70" s="67">
        <f t="shared" si="18"/>
        <v>0</v>
      </c>
      <c r="D70" s="67">
        <f t="shared" si="18"/>
        <v>0</v>
      </c>
      <c r="E70" s="67">
        <f t="shared" si="18"/>
        <v>0</v>
      </c>
      <c r="F70" s="67">
        <f t="shared" si="18"/>
        <v>0</v>
      </c>
      <c r="G70" s="67">
        <f t="shared" si="18"/>
        <v>0</v>
      </c>
      <c r="H70" s="67">
        <f t="shared" si="18"/>
        <v>72</v>
      </c>
      <c r="I70" s="67">
        <f t="shared" si="18"/>
        <v>97.8</v>
      </c>
      <c r="J70" s="67">
        <f t="shared" si="18"/>
        <v>100.39999999999999</v>
      </c>
      <c r="K70" s="67">
        <f t="shared" si="18"/>
        <v>100.3</v>
      </c>
      <c r="L70" s="67">
        <f t="shared" si="18"/>
        <v>100.3</v>
      </c>
      <c r="M70" s="67">
        <f t="shared" ref="M70:AF70" si="19">M67+M68+M69</f>
        <v>99.2</v>
      </c>
      <c r="N70" s="67">
        <f t="shared" si="19"/>
        <v>99.2</v>
      </c>
      <c r="O70" s="67">
        <f t="shared" si="19"/>
        <v>99.9</v>
      </c>
      <c r="P70" s="67">
        <f t="shared" si="19"/>
        <v>98.4</v>
      </c>
      <c r="Q70" s="67">
        <f t="shared" si="19"/>
        <v>98.4</v>
      </c>
      <c r="R70" s="67">
        <f t="shared" si="19"/>
        <v>98.4</v>
      </c>
      <c r="S70" s="67">
        <f t="shared" si="19"/>
        <v>100</v>
      </c>
      <c r="T70" s="67">
        <f t="shared" si="19"/>
        <v>100.3</v>
      </c>
      <c r="U70" s="67">
        <f t="shared" si="19"/>
        <v>100.3</v>
      </c>
      <c r="V70" s="67">
        <f t="shared" si="19"/>
        <v>100.3</v>
      </c>
      <c r="W70" s="67">
        <f t="shared" si="19"/>
        <v>100.3</v>
      </c>
      <c r="X70" s="67">
        <f t="shared" si="19"/>
        <v>100.3</v>
      </c>
      <c r="Y70" s="67">
        <f t="shared" si="19"/>
        <v>100.3</v>
      </c>
      <c r="Z70" s="67">
        <f t="shared" si="19"/>
        <v>64.599999999999994</v>
      </c>
      <c r="AA70" s="67">
        <f t="shared" si="19"/>
        <v>48.6</v>
      </c>
      <c r="AB70" s="67">
        <f t="shared" si="19"/>
        <v>48.6</v>
      </c>
      <c r="AC70" s="67">
        <f t="shared" si="19"/>
        <v>6.4</v>
      </c>
      <c r="AD70" s="67">
        <f t="shared" si="19"/>
        <v>0</v>
      </c>
      <c r="AE70" s="67">
        <f t="shared" si="19"/>
        <v>0</v>
      </c>
      <c r="AF70" s="67">
        <f t="shared" si="19"/>
        <v>0</v>
      </c>
      <c r="AG70" s="68">
        <f>SUM(AG67:AG69)</f>
        <v>106</v>
      </c>
      <c r="AH70" s="52">
        <f t="shared" si="2"/>
        <v>100.39999999999999</v>
      </c>
      <c r="AI70" s="53">
        <f t="shared" si="3"/>
        <v>0</v>
      </c>
      <c r="AK70" s="54"/>
    </row>
    <row r="71" spans="1:40" x14ac:dyDescent="0.25">
      <c r="A71" s="49" t="s">
        <v>79</v>
      </c>
      <c r="B71" s="50">
        <v>68</v>
      </c>
      <c r="C71" s="50">
        <v>59</v>
      </c>
      <c r="D71" s="50">
        <v>64</v>
      </c>
      <c r="E71" s="50">
        <v>67</v>
      </c>
      <c r="F71" s="50">
        <v>65</v>
      </c>
      <c r="G71" s="50">
        <v>66</v>
      </c>
      <c r="H71" s="50">
        <v>60</v>
      </c>
      <c r="I71" s="50">
        <v>62</v>
      </c>
      <c r="J71" s="50">
        <v>53</v>
      </c>
      <c r="K71" s="50">
        <v>52</v>
      </c>
      <c r="L71" s="50">
        <v>53</v>
      </c>
      <c r="M71" s="50">
        <v>51</v>
      </c>
      <c r="N71" s="50">
        <v>51</v>
      </c>
      <c r="O71" s="50">
        <v>51</v>
      </c>
      <c r="P71" s="50">
        <v>65</v>
      </c>
      <c r="Q71" s="50">
        <v>65</v>
      </c>
      <c r="R71" s="50">
        <v>65</v>
      </c>
      <c r="S71" s="50">
        <v>72.900000000000006</v>
      </c>
      <c r="T71" s="50">
        <v>55.9</v>
      </c>
      <c r="U71" s="50">
        <v>60</v>
      </c>
      <c r="V71" s="50">
        <v>63</v>
      </c>
      <c r="W71" s="50">
        <v>66</v>
      </c>
      <c r="X71" s="50">
        <v>55.4</v>
      </c>
      <c r="Y71" s="50">
        <v>58</v>
      </c>
      <c r="Z71" s="50">
        <v>34.5</v>
      </c>
      <c r="AA71" s="50">
        <v>35.1</v>
      </c>
      <c r="AB71" s="50">
        <v>56</v>
      </c>
      <c r="AC71" s="50">
        <v>45.1</v>
      </c>
      <c r="AD71" s="50">
        <v>44.9</v>
      </c>
      <c r="AE71" s="50">
        <v>41</v>
      </c>
      <c r="AF71" s="50">
        <v>44.5</v>
      </c>
      <c r="AG71" s="56"/>
      <c r="AH71" s="52">
        <f t="shared" si="2"/>
        <v>72.900000000000006</v>
      </c>
      <c r="AI71" s="53">
        <f t="shared" si="3"/>
        <v>34.5</v>
      </c>
      <c r="AK71" s="54"/>
    </row>
    <row r="72" spans="1:40" x14ac:dyDescent="0.25">
      <c r="A72" s="60" t="s">
        <v>80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57.3</v>
      </c>
      <c r="K72" s="72">
        <v>57.8</v>
      </c>
      <c r="L72" s="72">
        <v>48.1</v>
      </c>
      <c r="M72" s="72">
        <v>52.1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/>
      <c r="AD72" s="72"/>
      <c r="AE72" s="72"/>
      <c r="AF72" s="72"/>
      <c r="AG72" s="61"/>
      <c r="AH72" s="52">
        <f t="shared" si="2"/>
        <v>57.8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381.7</v>
      </c>
      <c r="C73" s="72">
        <v>67.2</v>
      </c>
      <c r="D73" s="72">
        <v>67.2</v>
      </c>
      <c r="E73" s="72">
        <v>53</v>
      </c>
      <c r="F73" s="72">
        <v>71.400000000000006</v>
      </c>
      <c r="G73" s="72">
        <v>63.8</v>
      </c>
      <c r="H73" s="72">
        <v>95</v>
      </c>
      <c r="I73" s="72">
        <v>85</v>
      </c>
      <c r="J73" s="72">
        <v>92.9</v>
      </c>
      <c r="K73" s="72">
        <v>96.8</v>
      </c>
      <c r="L73" s="72">
        <v>92.6</v>
      </c>
      <c r="M73" s="72">
        <v>110</v>
      </c>
      <c r="N73" s="72">
        <v>192</v>
      </c>
      <c r="O73" s="72">
        <v>210</v>
      </c>
      <c r="P73" s="72">
        <v>180.9</v>
      </c>
      <c r="Q73" s="72">
        <v>163</v>
      </c>
      <c r="R73" s="72">
        <v>211</v>
      </c>
      <c r="S73" s="72">
        <v>184.8</v>
      </c>
      <c r="T73" s="72">
        <v>240.3</v>
      </c>
      <c r="U73" s="72">
        <v>225</v>
      </c>
      <c r="V73" s="72">
        <v>205</v>
      </c>
      <c r="W73" s="72">
        <v>257</v>
      </c>
      <c r="X73" s="72">
        <v>249</v>
      </c>
      <c r="Y73" s="72">
        <v>262</v>
      </c>
      <c r="Z73" s="72">
        <v>107</v>
      </c>
      <c r="AA73" s="72">
        <v>84.6</v>
      </c>
      <c r="AB73" s="72">
        <v>65.900000000000006</v>
      </c>
      <c r="AC73" s="72">
        <v>42.6</v>
      </c>
      <c r="AD73" s="72">
        <v>55</v>
      </c>
      <c r="AE73" s="72">
        <v>52.3</v>
      </c>
      <c r="AF73" s="72">
        <v>62</v>
      </c>
      <c r="AG73" s="82"/>
      <c r="AH73" s="52">
        <f t="shared" si="2"/>
        <v>381.7</v>
      </c>
      <c r="AI73" s="53">
        <f t="shared" si="3"/>
        <v>42.6</v>
      </c>
      <c r="AK73" s="54"/>
    </row>
    <row r="74" spans="1:40" x14ac:dyDescent="0.25">
      <c r="A74" s="60" t="s">
        <v>82</v>
      </c>
      <c r="B74" s="72">
        <v>55.5</v>
      </c>
      <c r="C74" s="72">
        <v>55.6</v>
      </c>
      <c r="D74" s="72">
        <v>55.6</v>
      </c>
      <c r="E74" s="83">
        <v>46.8</v>
      </c>
      <c r="F74" s="83">
        <v>49.6</v>
      </c>
      <c r="G74" s="83">
        <v>55.1</v>
      </c>
      <c r="H74" s="83">
        <v>56.2</v>
      </c>
      <c r="I74" s="83">
        <v>57.6</v>
      </c>
      <c r="J74" s="83">
        <v>58.6</v>
      </c>
      <c r="K74" s="83">
        <v>58.8</v>
      </c>
      <c r="L74" s="83">
        <v>56.2</v>
      </c>
      <c r="M74" s="83">
        <v>50.4</v>
      </c>
      <c r="N74" s="83">
        <v>50.4</v>
      </c>
      <c r="O74" s="83">
        <v>50.4</v>
      </c>
      <c r="P74" s="83">
        <v>22.6</v>
      </c>
      <c r="Q74" s="83">
        <v>22.2</v>
      </c>
      <c r="R74" s="83">
        <v>22.2</v>
      </c>
      <c r="S74" s="83">
        <v>22.7</v>
      </c>
      <c r="T74" s="83">
        <v>6</v>
      </c>
      <c r="U74" s="83">
        <v>6</v>
      </c>
      <c r="V74" s="83">
        <v>6</v>
      </c>
      <c r="W74" s="83">
        <v>6</v>
      </c>
      <c r="X74" s="83">
        <v>0</v>
      </c>
      <c r="Y74" s="72">
        <v>0</v>
      </c>
      <c r="Z74" s="72">
        <v>0</v>
      </c>
      <c r="AA74" s="72">
        <v>0</v>
      </c>
      <c r="AB74" s="72">
        <v>0</v>
      </c>
      <c r="AC74" s="72"/>
      <c r="AD74" s="72"/>
      <c r="AE74" s="72"/>
      <c r="AF74" s="72"/>
      <c r="AG74" s="82"/>
      <c r="AH74" s="52">
        <f t="shared" si="2"/>
        <v>58.8</v>
      </c>
      <c r="AI74" s="53">
        <f t="shared" si="3"/>
        <v>0</v>
      </c>
      <c r="AK74" s="54"/>
    </row>
    <row r="75" spans="1:40" x14ac:dyDescent="0.25">
      <c r="A75" s="60" t="s">
        <v>83</v>
      </c>
      <c r="B75" s="50">
        <v>24.3</v>
      </c>
      <c r="C75" s="50">
        <v>24</v>
      </c>
      <c r="D75" s="50">
        <v>24</v>
      </c>
      <c r="E75" s="50">
        <v>22.4</v>
      </c>
      <c r="F75" s="50">
        <v>22.3</v>
      </c>
      <c r="G75" s="50">
        <v>21.8</v>
      </c>
      <c r="H75" s="50">
        <v>20.100000000000001</v>
      </c>
      <c r="I75" s="50">
        <v>18.8</v>
      </c>
      <c r="J75" s="50">
        <v>17.7</v>
      </c>
      <c r="K75" s="50">
        <v>14.3</v>
      </c>
      <c r="L75" s="50">
        <v>15.1</v>
      </c>
      <c r="M75" s="50">
        <v>18</v>
      </c>
      <c r="N75" s="50">
        <v>18</v>
      </c>
      <c r="O75" s="50">
        <v>18</v>
      </c>
      <c r="P75" s="50">
        <v>18</v>
      </c>
      <c r="Q75" s="50">
        <v>17</v>
      </c>
      <c r="R75" s="50">
        <v>17</v>
      </c>
      <c r="S75" s="50">
        <v>16</v>
      </c>
      <c r="T75" s="50">
        <v>0</v>
      </c>
      <c r="U75" s="50">
        <v>0</v>
      </c>
      <c r="V75" s="50">
        <v>0</v>
      </c>
      <c r="W75" s="50">
        <v>0</v>
      </c>
      <c r="X75" s="50">
        <v>0</v>
      </c>
      <c r="Y75" s="50">
        <v>0</v>
      </c>
      <c r="Z75" s="50">
        <v>0</v>
      </c>
      <c r="AA75" s="50">
        <v>0</v>
      </c>
      <c r="AB75" s="50">
        <v>0</v>
      </c>
      <c r="AC75" s="50"/>
      <c r="AD75" s="50"/>
      <c r="AE75" s="50"/>
      <c r="AF75" s="50"/>
      <c r="AG75" s="82"/>
      <c r="AH75" s="52">
        <f t="shared" ref="AH75:AH117" si="20">MAX(B75:AF75)</f>
        <v>24.3</v>
      </c>
      <c r="AI75" s="53">
        <f t="shared" ref="AI75:AI117" si="21">MIN(B75:AF75)</f>
        <v>0</v>
      </c>
      <c r="AK75" s="54"/>
    </row>
    <row r="76" spans="1:40" x14ac:dyDescent="0.25">
      <c r="A76" s="60" t="s">
        <v>84</v>
      </c>
      <c r="B76" s="84">
        <v>7</v>
      </c>
      <c r="C76" s="84">
        <v>0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/>
      <c r="AD76" s="84"/>
      <c r="AE76" s="84"/>
      <c r="AF76" s="84"/>
      <c r="AG76" s="82"/>
      <c r="AH76" s="52">
        <f t="shared" si="20"/>
        <v>7</v>
      </c>
      <c r="AI76" s="53">
        <f t="shared" si="21"/>
        <v>0</v>
      </c>
      <c r="AK76" s="54"/>
    </row>
    <row r="77" spans="1:40" ht="15.75" thickBot="1" x14ac:dyDescent="0.3">
      <c r="A77" s="60" t="s">
        <v>85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/>
      <c r="AD77" s="84"/>
      <c r="AE77" s="84"/>
      <c r="AF77" s="84"/>
      <c r="AG77" s="82"/>
      <c r="AH77" s="52">
        <f t="shared" si="20"/>
        <v>0</v>
      </c>
      <c r="AI77" s="53">
        <f t="shared" si="21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/>
      <c r="AD78" s="84"/>
      <c r="AE78" s="84"/>
      <c r="AF78" s="84"/>
      <c r="AG78" s="82"/>
      <c r="AH78" s="52">
        <f t="shared" si="20"/>
        <v>0</v>
      </c>
      <c r="AI78" s="53">
        <f t="shared" si="21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/>
      <c r="AD79" s="84"/>
      <c r="AE79" s="84"/>
      <c r="AF79" s="84"/>
      <c r="AG79" s="82"/>
      <c r="AH79" s="52">
        <f t="shared" si="20"/>
        <v>0</v>
      </c>
      <c r="AI79" s="53">
        <f t="shared" si="21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/>
      <c r="AD80" s="84"/>
      <c r="AE80" s="84"/>
      <c r="AF80" s="84"/>
      <c r="AG80" s="92"/>
      <c r="AH80" s="52">
        <f t="shared" si="20"/>
        <v>0</v>
      </c>
      <c r="AI80" s="53">
        <f t="shared" si="21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/>
      <c r="AD81" s="84"/>
      <c r="AE81" s="84"/>
      <c r="AF81" s="84"/>
      <c r="AG81" s="92"/>
      <c r="AH81" s="52">
        <f t="shared" si="20"/>
        <v>0</v>
      </c>
      <c r="AI81" s="53">
        <f t="shared" si="21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" si="22">SUMIF(B71:B81,"&gt;0")</f>
        <v>536.5</v>
      </c>
      <c r="C82" s="67">
        <f t="shared" ref="C82:AF82" si="23">SUMIF(C71:C81,"&gt;0")</f>
        <v>205.8</v>
      </c>
      <c r="D82" s="67">
        <f t="shared" si="23"/>
        <v>210.79999999999998</v>
      </c>
      <c r="E82" s="67">
        <f t="shared" si="23"/>
        <v>189.20000000000002</v>
      </c>
      <c r="F82" s="67">
        <f t="shared" si="23"/>
        <v>208.3</v>
      </c>
      <c r="G82" s="67">
        <f t="shared" si="23"/>
        <v>206.70000000000002</v>
      </c>
      <c r="H82" s="67">
        <f t="shared" si="23"/>
        <v>231.29999999999998</v>
      </c>
      <c r="I82" s="67">
        <f t="shared" si="23"/>
        <v>223.4</v>
      </c>
      <c r="J82" s="67">
        <f t="shared" si="23"/>
        <v>279.5</v>
      </c>
      <c r="K82" s="67">
        <f t="shared" si="23"/>
        <v>279.7</v>
      </c>
      <c r="L82" s="67">
        <f t="shared" si="23"/>
        <v>265</v>
      </c>
      <c r="M82" s="67">
        <f t="shared" si="23"/>
        <v>281.5</v>
      </c>
      <c r="N82" s="67">
        <f t="shared" si="23"/>
        <v>311.39999999999998</v>
      </c>
      <c r="O82" s="67">
        <f t="shared" si="23"/>
        <v>329.4</v>
      </c>
      <c r="P82" s="67">
        <f t="shared" si="23"/>
        <v>286.5</v>
      </c>
      <c r="Q82" s="67">
        <f t="shared" si="23"/>
        <v>267.2</v>
      </c>
      <c r="R82" s="67">
        <f t="shared" si="23"/>
        <v>315.2</v>
      </c>
      <c r="S82" s="67">
        <f t="shared" si="23"/>
        <v>296.40000000000003</v>
      </c>
      <c r="T82" s="67">
        <f t="shared" si="23"/>
        <v>302.2</v>
      </c>
      <c r="U82" s="67">
        <f t="shared" si="23"/>
        <v>291</v>
      </c>
      <c r="V82" s="67">
        <f t="shared" si="23"/>
        <v>274</v>
      </c>
      <c r="W82" s="67">
        <f t="shared" si="23"/>
        <v>329</v>
      </c>
      <c r="X82" s="67">
        <f t="shared" si="23"/>
        <v>304.39999999999998</v>
      </c>
      <c r="Y82" s="67">
        <f t="shared" si="23"/>
        <v>320</v>
      </c>
      <c r="Z82" s="67">
        <f t="shared" si="23"/>
        <v>141.5</v>
      </c>
      <c r="AA82" s="67">
        <f t="shared" si="23"/>
        <v>119.69999999999999</v>
      </c>
      <c r="AB82" s="67">
        <f t="shared" si="23"/>
        <v>121.9</v>
      </c>
      <c r="AC82" s="67">
        <f t="shared" si="23"/>
        <v>87.7</v>
      </c>
      <c r="AD82" s="67">
        <f t="shared" si="23"/>
        <v>99.9</v>
      </c>
      <c r="AE82" s="67">
        <f t="shared" si="23"/>
        <v>93.3</v>
      </c>
      <c r="AF82" s="67">
        <f t="shared" si="23"/>
        <v>106.5</v>
      </c>
      <c r="AG82" s="95">
        <f>SUM(AG71:AG81)</f>
        <v>0</v>
      </c>
      <c r="AH82" s="52">
        <f t="shared" si="20"/>
        <v>536.5</v>
      </c>
      <c r="AI82" s="53">
        <f t="shared" si="21"/>
        <v>87.7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20"/>
        <v>0</v>
      </c>
      <c r="AI83" s="53">
        <f t="shared" si="21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20"/>
        <v>0</v>
      </c>
      <c r="AI84" s="53">
        <f t="shared" si="21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20"/>
        <v>0</v>
      </c>
      <c r="AI85" s="53">
        <f t="shared" si="21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>
        <v>0</v>
      </c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20"/>
        <v>0</v>
      </c>
      <c r="AI86" s="53">
        <f t="shared" si="21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" si="24">B48+B52+B70+B66+B82+B86</f>
        <v>1220.54</v>
      </c>
      <c r="C87" s="102">
        <f t="shared" ref="C87:AG87" si="25">C48+C52+C70+C66+C82+C86</f>
        <v>1180.04</v>
      </c>
      <c r="D87" s="102">
        <f t="shared" si="25"/>
        <v>1186.04</v>
      </c>
      <c r="E87" s="102">
        <f t="shared" si="25"/>
        <v>1168.44</v>
      </c>
      <c r="F87" s="102">
        <f t="shared" si="25"/>
        <v>1162.24</v>
      </c>
      <c r="G87" s="102">
        <f t="shared" si="25"/>
        <v>1181.44</v>
      </c>
      <c r="H87" s="102">
        <f t="shared" si="25"/>
        <v>1208.3400000000001</v>
      </c>
      <c r="I87" s="102">
        <f t="shared" si="25"/>
        <v>1225.74</v>
      </c>
      <c r="J87" s="102">
        <f t="shared" si="25"/>
        <v>1189.24</v>
      </c>
      <c r="K87" s="102">
        <f t="shared" si="25"/>
        <v>1169.3399999999999</v>
      </c>
      <c r="L87" s="102">
        <f t="shared" si="25"/>
        <v>1156.3400000000001</v>
      </c>
      <c r="M87" s="102">
        <f t="shared" si="25"/>
        <v>1159.6400000000001</v>
      </c>
      <c r="N87" s="102">
        <f t="shared" si="25"/>
        <v>1077.74</v>
      </c>
      <c r="O87" s="102">
        <f t="shared" si="25"/>
        <v>1061.8400000000001</v>
      </c>
      <c r="P87" s="102">
        <f t="shared" si="25"/>
        <v>1142.04</v>
      </c>
      <c r="Q87" s="102">
        <f t="shared" si="25"/>
        <v>1123.74</v>
      </c>
      <c r="R87" s="102">
        <f t="shared" si="25"/>
        <v>1170.74</v>
      </c>
      <c r="S87" s="102">
        <f t="shared" si="25"/>
        <v>1069.54</v>
      </c>
      <c r="T87" s="102">
        <f t="shared" si="25"/>
        <v>1043.3399999999999</v>
      </c>
      <c r="U87" s="102">
        <f t="shared" si="25"/>
        <v>1045.04</v>
      </c>
      <c r="V87" s="102">
        <f t="shared" si="25"/>
        <v>1027.74</v>
      </c>
      <c r="W87" s="102">
        <f t="shared" si="25"/>
        <v>1047.54</v>
      </c>
      <c r="X87" s="102">
        <f t="shared" si="25"/>
        <v>1035.1399999999999</v>
      </c>
      <c r="Y87" s="102">
        <f t="shared" si="25"/>
        <v>1083.8400000000001</v>
      </c>
      <c r="Z87" s="102">
        <f t="shared" si="25"/>
        <v>1225.04</v>
      </c>
      <c r="AA87" s="102">
        <f t="shared" si="25"/>
        <v>1207.94</v>
      </c>
      <c r="AB87" s="102">
        <f t="shared" si="25"/>
        <v>1172.0400000000002</v>
      </c>
      <c r="AC87" s="102">
        <f t="shared" si="25"/>
        <v>1127.44</v>
      </c>
      <c r="AD87" s="102">
        <f t="shared" si="25"/>
        <v>1114.1400000000001</v>
      </c>
      <c r="AE87" s="102">
        <f t="shared" si="25"/>
        <v>985.33999999999992</v>
      </c>
      <c r="AF87" s="102">
        <f t="shared" si="25"/>
        <v>945.83999999999992</v>
      </c>
      <c r="AG87" s="68">
        <f t="shared" si="25"/>
        <v>2065.09</v>
      </c>
      <c r="AH87" s="52">
        <f>MAX(B87:AF87)</f>
        <v>1225.74</v>
      </c>
      <c r="AI87" s="53">
        <f>MIN(B87:AF87)</f>
        <v>945.83999999999992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>
        <v>50</v>
      </c>
      <c r="L88" s="104">
        <v>50</v>
      </c>
      <c r="M88" s="104">
        <v>75</v>
      </c>
      <c r="N88" s="104">
        <v>175</v>
      </c>
      <c r="O88" s="104">
        <v>175</v>
      </c>
      <c r="P88" s="104">
        <v>175</v>
      </c>
      <c r="Q88" s="104"/>
      <c r="R88" s="104"/>
      <c r="S88" s="104"/>
      <c r="T88" s="104"/>
      <c r="U88" s="104"/>
      <c r="V88" s="104"/>
      <c r="W88" s="104"/>
      <c r="X88" s="104"/>
      <c r="Y88" s="104"/>
      <c r="Z88" s="104">
        <v>95</v>
      </c>
      <c r="AA88" s="104">
        <v>95</v>
      </c>
      <c r="AB88" s="104"/>
      <c r="AC88" s="104"/>
      <c r="AD88" s="104"/>
      <c r="AE88" s="104"/>
      <c r="AF88" s="104"/>
      <c r="AG88" s="95"/>
      <c r="AH88" s="52">
        <f t="shared" si="20"/>
        <v>175</v>
      </c>
      <c r="AI88" s="53">
        <f t="shared" si="21"/>
        <v>50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" si="26">B87+B88</f>
        <v>1220.54</v>
      </c>
      <c r="C89" s="102">
        <f t="shared" ref="C89:AF89" si="27">C87+C88</f>
        <v>1180.04</v>
      </c>
      <c r="D89" s="102">
        <f t="shared" si="27"/>
        <v>1186.04</v>
      </c>
      <c r="E89" s="102">
        <f t="shared" si="27"/>
        <v>1168.44</v>
      </c>
      <c r="F89" s="102">
        <f t="shared" si="27"/>
        <v>1162.24</v>
      </c>
      <c r="G89" s="102">
        <f t="shared" si="27"/>
        <v>1181.44</v>
      </c>
      <c r="H89" s="102">
        <f t="shared" si="27"/>
        <v>1208.3400000000001</v>
      </c>
      <c r="I89" s="102">
        <f t="shared" si="27"/>
        <v>1225.74</v>
      </c>
      <c r="J89" s="102">
        <f t="shared" si="27"/>
        <v>1189.24</v>
      </c>
      <c r="K89" s="102">
        <f t="shared" si="27"/>
        <v>1219.3399999999999</v>
      </c>
      <c r="L89" s="102">
        <f t="shared" si="27"/>
        <v>1206.3400000000001</v>
      </c>
      <c r="M89" s="102">
        <f t="shared" si="27"/>
        <v>1234.6400000000001</v>
      </c>
      <c r="N89" s="102">
        <f t="shared" si="27"/>
        <v>1252.74</v>
      </c>
      <c r="O89" s="102">
        <f t="shared" si="27"/>
        <v>1236.8400000000001</v>
      </c>
      <c r="P89" s="102">
        <f t="shared" si="27"/>
        <v>1317.04</v>
      </c>
      <c r="Q89" s="102">
        <f t="shared" si="27"/>
        <v>1123.74</v>
      </c>
      <c r="R89" s="102">
        <f t="shared" si="27"/>
        <v>1170.74</v>
      </c>
      <c r="S89" s="102">
        <f t="shared" si="27"/>
        <v>1069.54</v>
      </c>
      <c r="T89" s="102">
        <f t="shared" si="27"/>
        <v>1043.3399999999999</v>
      </c>
      <c r="U89" s="102">
        <f t="shared" si="27"/>
        <v>1045.04</v>
      </c>
      <c r="V89" s="102">
        <f t="shared" si="27"/>
        <v>1027.74</v>
      </c>
      <c r="W89" s="102">
        <f t="shared" si="27"/>
        <v>1047.54</v>
      </c>
      <c r="X89" s="102">
        <f t="shared" si="27"/>
        <v>1035.1399999999999</v>
      </c>
      <c r="Y89" s="102">
        <f t="shared" si="27"/>
        <v>1083.8400000000001</v>
      </c>
      <c r="Z89" s="102">
        <f t="shared" si="27"/>
        <v>1320.04</v>
      </c>
      <c r="AA89" s="102">
        <f t="shared" si="27"/>
        <v>1302.94</v>
      </c>
      <c r="AB89" s="102">
        <f t="shared" si="27"/>
        <v>1172.0400000000002</v>
      </c>
      <c r="AC89" s="102">
        <f t="shared" si="27"/>
        <v>1127.44</v>
      </c>
      <c r="AD89" s="102">
        <f t="shared" si="27"/>
        <v>1114.1400000000001</v>
      </c>
      <c r="AE89" s="102">
        <f t="shared" si="27"/>
        <v>985.33999999999992</v>
      </c>
      <c r="AF89" s="102">
        <f t="shared" si="27"/>
        <v>945.83999999999992</v>
      </c>
      <c r="AG89" s="95">
        <f>AG86+AG82+AG70+AG66+AG48+AG88</f>
        <v>1526.99</v>
      </c>
      <c r="AH89" s="52">
        <f t="shared" si="20"/>
        <v>1320.04</v>
      </c>
      <c r="AI89" s="53">
        <f t="shared" si="21"/>
        <v>945.83999999999992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" si="28">B89-B97</f>
        <v>1220.54</v>
      </c>
      <c r="C90" s="102">
        <f t="shared" ref="C90:AF90" si="29">C89-C97</f>
        <v>1180.04</v>
      </c>
      <c r="D90" s="102">
        <f t="shared" si="29"/>
        <v>1186.04</v>
      </c>
      <c r="E90" s="102">
        <f t="shared" si="29"/>
        <v>1168.44</v>
      </c>
      <c r="F90" s="102">
        <f t="shared" si="29"/>
        <v>1162.24</v>
      </c>
      <c r="G90" s="102">
        <f t="shared" si="29"/>
        <v>1181.44</v>
      </c>
      <c r="H90" s="102">
        <f t="shared" si="29"/>
        <v>1208.3400000000001</v>
      </c>
      <c r="I90" s="102">
        <f t="shared" si="29"/>
        <v>1225.74</v>
      </c>
      <c r="J90" s="102">
        <f t="shared" si="29"/>
        <v>1189.24</v>
      </c>
      <c r="K90" s="102">
        <f t="shared" si="29"/>
        <v>1219.3399999999999</v>
      </c>
      <c r="L90" s="102">
        <f t="shared" si="29"/>
        <v>1206.3400000000001</v>
      </c>
      <c r="M90" s="102">
        <f t="shared" si="29"/>
        <v>1234.6400000000001</v>
      </c>
      <c r="N90" s="102">
        <f t="shared" si="29"/>
        <v>1252.74</v>
      </c>
      <c r="O90" s="102">
        <f t="shared" si="29"/>
        <v>1236.8400000000001</v>
      </c>
      <c r="P90" s="102">
        <f t="shared" si="29"/>
        <v>1317.04</v>
      </c>
      <c r="Q90" s="102">
        <f t="shared" si="29"/>
        <v>1123.74</v>
      </c>
      <c r="R90" s="102">
        <f t="shared" si="29"/>
        <v>1170.74</v>
      </c>
      <c r="S90" s="102">
        <f t="shared" si="29"/>
        <v>1069.54</v>
      </c>
      <c r="T90" s="102">
        <f t="shared" si="29"/>
        <v>1043.3399999999999</v>
      </c>
      <c r="U90" s="102">
        <f t="shared" si="29"/>
        <v>1045.04</v>
      </c>
      <c r="V90" s="102">
        <f t="shared" si="29"/>
        <v>1027.74</v>
      </c>
      <c r="W90" s="102">
        <f t="shared" si="29"/>
        <v>1047.54</v>
      </c>
      <c r="X90" s="102">
        <f t="shared" si="29"/>
        <v>1035.1399999999999</v>
      </c>
      <c r="Y90" s="102">
        <f t="shared" si="29"/>
        <v>1083.8400000000001</v>
      </c>
      <c r="Z90" s="102">
        <f t="shared" si="29"/>
        <v>1320.04</v>
      </c>
      <c r="AA90" s="102">
        <f t="shared" si="29"/>
        <v>1302.94</v>
      </c>
      <c r="AB90" s="102">
        <f t="shared" si="29"/>
        <v>1172.0400000000002</v>
      </c>
      <c r="AC90" s="102">
        <f t="shared" si="29"/>
        <v>1127.44</v>
      </c>
      <c r="AD90" s="102">
        <f t="shared" si="29"/>
        <v>1114.1400000000001</v>
      </c>
      <c r="AE90" s="102">
        <f t="shared" si="29"/>
        <v>985.33999999999992</v>
      </c>
      <c r="AF90" s="102">
        <f t="shared" si="29"/>
        <v>945.83999999999992</v>
      </c>
      <c r="AG90" s="95"/>
      <c r="AH90" s="52">
        <f t="shared" si="20"/>
        <v>1320.04</v>
      </c>
      <c r="AI90" s="53">
        <f t="shared" si="21"/>
        <v>945.83999999999992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20"/>
        <v>0</v>
      </c>
      <c r="AI91" s="53">
        <f t="shared" si="21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20"/>
        <v>0</v>
      </c>
      <c r="AI92" s="53">
        <f t="shared" si="21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20"/>
        <v>0</v>
      </c>
      <c r="AI93" s="53">
        <f t="shared" si="21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20"/>
        <v>0</v>
      </c>
      <c r="AI94" s="53">
        <f t="shared" si="21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20"/>
        <v>0</v>
      </c>
      <c r="AI95" s="53">
        <f t="shared" si="21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20"/>
        <v>0</v>
      </c>
      <c r="AI96" s="53">
        <f t="shared" si="21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>
        <v>0</v>
      </c>
      <c r="AA97" s="67"/>
      <c r="AB97" s="67"/>
      <c r="AC97" s="67"/>
      <c r="AD97" s="67"/>
      <c r="AE97" s="67"/>
      <c r="AF97" s="67"/>
      <c r="AG97" s="95"/>
      <c r="AH97" s="52">
        <f t="shared" si="20"/>
        <v>0</v>
      </c>
      <c r="AI97" s="53">
        <f t="shared" si="21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" si="30">B82-B97</f>
        <v>536.5</v>
      </c>
      <c r="C98" s="67">
        <f t="shared" ref="C98:AF98" si="31">C82-C97</f>
        <v>205.8</v>
      </c>
      <c r="D98" s="67">
        <f t="shared" si="31"/>
        <v>210.79999999999998</v>
      </c>
      <c r="E98" s="67">
        <f t="shared" si="31"/>
        <v>189.20000000000002</v>
      </c>
      <c r="F98" s="67">
        <f t="shared" si="31"/>
        <v>208.3</v>
      </c>
      <c r="G98" s="67">
        <f t="shared" si="31"/>
        <v>206.70000000000002</v>
      </c>
      <c r="H98" s="67">
        <f t="shared" si="31"/>
        <v>231.29999999999998</v>
      </c>
      <c r="I98" s="67">
        <f t="shared" si="31"/>
        <v>223.4</v>
      </c>
      <c r="J98" s="67">
        <f t="shared" si="31"/>
        <v>279.5</v>
      </c>
      <c r="K98" s="67">
        <f t="shared" si="31"/>
        <v>279.7</v>
      </c>
      <c r="L98" s="67">
        <f t="shared" si="31"/>
        <v>265</v>
      </c>
      <c r="M98" s="67">
        <f t="shared" si="31"/>
        <v>281.5</v>
      </c>
      <c r="N98" s="67">
        <f t="shared" si="31"/>
        <v>311.39999999999998</v>
      </c>
      <c r="O98" s="67">
        <f t="shared" si="31"/>
        <v>329.4</v>
      </c>
      <c r="P98" s="67">
        <f t="shared" si="31"/>
        <v>286.5</v>
      </c>
      <c r="Q98" s="67">
        <f t="shared" si="31"/>
        <v>267.2</v>
      </c>
      <c r="R98" s="67">
        <f t="shared" si="31"/>
        <v>315.2</v>
      </c>
      <c r="S98" s="67">
        <f t="shared" si="31"/>
        <v>296.40000000000003</v>
      </c>
      <c r="T98" s="67">
        <f t="shared" si="31"/>
        <v>302.2</v>
      </c>
      <c r="U98" s="67">
        <f t="shared" si="31"/>
        <v>291</v>
      </c>
      <c r="V98" s="67">
        <f t="shared" si="31"/>
        <v>274</v>
      </c>
      <c r="W98" s="67">
        <f t="shared" si="31"/>
        <v>329</v>
      </c>
      <c r="X98" s="67">
        <f t="shared" si="31"/>
        <v>304.39999999999998</v>
      </c>
      <c r="Y98" s="67">
        <f t="shared" si="31"/>
        <v>320</v>
      </c>
      <c r="Z98" s="67">
        <f t="shared" si="31"/>
        <v>141.5</v>
      </c>
      <c r="AA98" s="67">
        <f t="shared" si="31"/>
        <v>119.69999999999999</v>
      </c>
      <c r="AB98" s="67">
        <f t="shared" si="31"/>
        <v>121.9</v>
      </c>
      <c r="AC98" s="67">
        <f t="shared" si="31"/>
        <v>87.7</v>
      </c>
      <c r="AD98" s="67">
        <f t="shared" si="31"/>
        <v>99.9</v>
      </c>
      <c r="AE98" s="67">
        <f t="shared" si="31"/>
        <v>93.3</v>
      </c>
      <c r="AF98" s="67">
        <f t="shared" si="31"/>
        <v>106.5</v>
      </c>
      <c r="AG98" s="95"/>
      <c r="AH98" s="52">
        <f t="shared" si="20"/>
        <v>536.5</v>
      </c>
      <c r="AI98" s="53">
        <f t="shared" si="21"/>
        <v>87.7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50.12</v>
      </c>
      <c r="C99" s="108">
        <v>49.99</v>
      </c>
      <c r="D99" s="108">
        <v>49.99</v>
      </c>
      <c r="E99" s="108">
        <v>49.984000000000002</v>
      </c>
      <c r="F99" s="108">
        <v>49.975000000000001</v>
      </c>
      <c r="G99" s="108">
        <v>49.948</v>
      </c>
      <c r="H99" s="108">
        <v>49.851999999999997</v>
      </c>
      <c r="I99" s="108">
        <v>49.975999999999999</v>
      </c>
      <c r="J99" s="108">
        <v>49.89</v>
      </c>
      <c r="K99" s="108">
        <v>49.966999999999999</v>
      </c>
      <c r="L99" s="108">
        <v>49.841999999999999</v>
      </c>
      <c r="M99" s="108">
        <v>49.963000000000001</v>
      </c>
      <c r="N99" s="108">
        <v>50.024999999999999</v>
      </c>
      <c r="O99" s="108">
        <v>49.97</v>
      </c>
      <c r="P99" s="108">
        <v>49.899000000000001</v>
      </c>
      <c r="Q99" s="108">
        <v>50.021000000000001</v>
      </c>
      <c r="R99" s="108">
        <v>50.067999999999998</v>
      </c>
      <c r="S99" s="108">
        <v>50.09</v>
      </c>
      <c r="T99" s="108">
        <v>49.798999999999999</v>
      </c>
      <c r="U99" s="108">
        <v>49.887</v>
      </c>
      <c r="V99" s="108">
        <v>49.744</v>
      </c>
      <c r="W99" s="108">
        <v>49.954999999999998</v>
      </c>
      <c r="X99" s="108">
        <v>49.947000000000003</v>
      </c>
      <c r="Y99" s="108">
        <v>50.088999999999999</v>
      </c>
      <c r="Z99" s="108">
        <v>50.079000000000001</v>
      </c>
      <c r="AA99" s="108">
        <v>50.033999999999999</v>
      </c>
      <c r="AB99" s="108">
        <v>50.005000000000003</v>
      </c>
      <c r="AC99" s="108">
        <v>50.048000000000002</v>
      </c>
      <c r="AD99" s="108">
        <v>49.924999999999997</v>
      </c>
      <c r="AE99" s="108">
        <v>49.963999999999999</v>
      </c>
      <c r="AF99" s="108">
        <v>49.960999999999999</v>
      </c>
      <c r="AG99" s="109"/>
      <c r="AH99" s="52">
        <f t="shared" si="20"/>
        <v>50.12</v>
      </c>
      <c r="AI99" s="53">
        <f t="shared" si="21"/>
        <v>49.744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127.5</v>
      </c>
      <c r="C100" s="72">
        <v>127</v>
      </c>
      <c r="D100" s="72">
        <v>127</v>
      </c>
      <c r="E100" s="72">
        <v>128.6</v>
      </c>
      <c r="F100" s="72">
        <v>128.6</v>
      </c>
      <c r="G100" s="72">
        <v>128.6</v>
      </c>
      <c r="H100" s="72">
        <v>128</v>
      </c>
      <c r="I100" s="72">
        <v>129.19999999999999</v>
      </c>
      <c r="J100" s="72">
        <v>129.4</v>
      </c>
      <c r="K100" s="72">
        <v>129.5</v>
      </c>
      <c r="L100" s="72">
        <v>128.19999999999999</v>
      </c>
      <c r="M100" s="72">
        <v>128.30000000000001</v>
      </c>
      <c r="N100" s="72">
        <v>128.69999999999999</v>
      </c>
      <c r="O100" s="72">
        <v>128.1</v>
      </c>
      <c r="P100" s="72">
        <v>126.8</v>
      </c>
      <c r="Q100" s="72">
        <v>127.3</v>
      </c>
      <c r="R100" s="72">
        <v>127.2</v>
      </c>
      <c r="S100" s="72">
        <v>127.4</v>
      </c>
      <c r="T100" s="72">
        <v>127.4</v>
      </c>
      <c r="U100" s="72">
        <v>126.9</v>
      </c>
      <c r="V100" s="72">
        <v>127.5</v>
      </c>
      <c r="W100" s="72">
        <v>127.5</v>
      </c>
      <c r="X100" s="72">
        <v>127.5</v>
      </c>
      <c r="Y100" s="72">
        <v>127.5</v>
      </c>
      <c r="Z100" s="72">
        <v>128.1</v>
      </c>
      <c r="AA100" s="72">
        <v>127.4</v>
      </c>
      <c r="AB100" s="72">
        <v>128.1</v>
      </c>
      <c r="AC100" s="72">
        <v>126.1</v>
      </c>
      <c r="AD100" s="72">
        <v>126.6</v>
      </c>
      <c r="AE100" s="72">
        <v>128</v>
      </c>
      <c r="AF100" s="72">
        <v>127</v>
      </c>
      <c r="AG100" s="111"/>
      <c r="AH100" s="52">
        <f t="shared" si="20"/>
        <v>129.5</v>
      </c>
      <c r="AI100" s="53">
        <f t="shared" si="21"/>
        <v>126.1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131.6</v>
      </c>
      <c r="C101" s="72">
        <v>131.1</v>
      </c>
      <c r="D101" s="72">
        <v>131.1</v>
      </c>
      <c r="E101" s="72">
        <v>132</v>
      </c>
      <c r="F101" s="72">
        <v>132</v>
      </c>
      <c r="G101" s="72">
        <v>132</v>
      </c>
      <c r="H101" s="72">
        <v>131.6</v>
      </c>
      <c r="I101" s="72">
        <v>132.19999999999999</v>
      </c>
      <c r="J101" s="72">
        <v>131.80000000000001</v>
      </c>
      <c r="K101" s="72">
        <v>131.69999999999999</v>
      </c>
      <c r="L101" s="72">
        <v>130.6</v>
      </c>
      <c r="M101" s="72">
        <v>130.5</v>
      </c>
      <c r="N101" s="72">
        <v>130.30000000000001</v>
      </c>
      <c r="O101" s="72">
        <v>130.1</v>
      </c>
      <c r="P101" s="72">
        <v>129.5</v>
      </c>
      <c r="Q101" s="72">
        <v>129.6</v>
      </c>
      <c r="R101" s="72">
        <v>130.6</v>
      </c>
      <c r="S101" s="72">
        <v>130.4</v>
      </c>
      <c r="T101" s="72">
        <v>130.4</v>
      </c>
      <c r="U101" s="72">
        <v>130.1</v>
      </c>
      <c r="V101" s="72">
        <v>130.6</v>
      </c>
      <c r="W101" s="72">
        <v>130.6</v>
      </c>
      <c r="X101" s="72">
        <v>130.6</v>
      </c>
      <c r="Y101" s="72">
        <v>130.6</v>
      </c>
      <c r="Z101" s="72">
        <v>130.19999999999999</v>
      </c>
      <c r="AA101" s="72">
        <v>130</v>
      </c>
      <c r="AB101" s="72">
        <v>131.30000000000001</v>
      </c>
      <c r="AC101" s="72">
        <v>129.4</v>
      </c>
      <c r="AD101" s="72">
        <v>130.19999999999999</v>
      </c>
      <c r="AE101" s="72">
        <v>132.1</v>
      </c>
      <c r="AF101" s="72">
        <v>131.19999999999999</v>
      </c>
      <c r="AG101" s="111"/>
      <c r="AH101" s="52">
        <f t="shared" si="20"/>
        <v>132.19999999999999</v>
      </c>
      <c r="AI101" s="53">
        <f t="shared" si="21"/>
        <v>129.4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131.1</v>
      </c>
      <c r="C102" s="72">
        <v>130.1</v>
      </c>
      <c r="D102" s="72">
        <v>130.1</v>
      </c>
      <c r="E102" s="72">
        <v>131.5</v>
      </c>
      <c r="F102" s="72">
        <v>131.5</v>
      </c>
      <c r="G102" s="72">
        <v>131.5</v>
      </c>
      <c r="H102" s="72">
        <v>131</v>
      </c>
      <c r="I102" s="72">
        <v>133.5</v>
      </c>
      <c r="J102" s="72">
        <v>136.30000000000001</v>
      </c>
      <c r="K102" s="72">
        <v>134.69999999999999</v>
      </c>
      <c r="L102" s="72">
        <v>131.80000000000001</v>
      </c>
      <c r="M102" s="72">
        <v>130.5</v>
      </c>
      <c r="N102" s="72">
        <v>128.19999999999999</v>
      </c>
      <c r="O102" s="72">
        <v>129.1</v>
      </c>
      <c r="P102" s="72">
        <v>128.69999999999999</v>
      </c>
      <c r="Q102" s="72">
        <v>130.19999999999999</v>
      </c>
      <c r="R102" s="72">
        <v>130.69999999999999</v>
      </c>
      <c r="S102" s="72">
        <v>131.9</v>
      </c>
      <c r="T102" s="72">
        <v>131.9</v>
      </c>
      <c r="U102" s="72">
        <v>131.6</v>
      </c>
      <c r="V102" s="72">
        <v>130.9</v>
      </c>
      <c r="W102" s="72">
        <v>130.9</v>
      </c>
      <c r="X102" s="72">
        <v>130.9</v>
      </c>
      <c r="Y102" s="72">
        <v>130.9</v>
      </c>
      <c r="Z102" s="72">
        <v>129.5</v>
      </c>
      <c r="AA102" s="72">
        <v>129.30000000000001</v>
      </c>
      <c r="AB102" s="72">
        <v>130.9</v>
      </c>
      <c r="AC102" s="72">
        <v>130</v>
      </c>
      <c r="AD102" s="72">
        <v>131.5</v>
      </c>
      <c r="AE102" s="72">
        <v>132.30000000000001</v>
      </c>
      <c r="AF102" s="72">
        <v>133.4</v>
      </c>
      <c r="AG102" s="111"/>
      <c r="AH102" s="52">
        <f t="shared" si="20"/>
        <v>136.30000000000001</v>
      </c>
      <c r="AI102" s="53">
        <f t="shared" si="21"/>
        <v>128.19999999999999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20"/>
        <v>0</v>
      </c>
      <c r="AI103" s="53">
        <f t="shared" si="21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133.4</v>
      </c>
      <c r="C104" s="113">
        <v>132.4</v>
      </c>
      <c r="D104" s="113">
        <v>132.4</v>
      </c>
      <c r="E104" s="113">
        <v>132.80000000000001</v>
      </c>
      <c r="F104" s="113">
        <v>132.80000000000001</v>
      </c>
      <c r="G104" s="113">
        <v>132.80000000000001</v>
      </c>
      <c r="H104" s="113">
        <v>132.30000000000001</v>
      </c>
      <c r="I104" s="113">
        <v>133.5</v>
      </c>
      <c r="J104" s="113">
        <v>134.80000000000001</v>
      </c>
      <c r="K104" s="113">
        <v>131.9</v>
      </c>
      <c r="L104" s="113">
        <v>131.5</v>
      </c>
      <c r="M104" s="113">
        <v>133.9</v>
      </c>
      <c r="N104" s="113">
        <v>131.6</v>
      </c>
      <c r="O104" s="113">
        <v>131.9</v>
      </c>
      <c r="P104" s="113">
        <v>129.19999999999999</v>
      </c>
      <c r="Q104" s="113">
        <v>129.69999999999999</v>
      </c>
      <c r="R104" s="113">
        <v>133.1</v>
      </c>
      <c r="S104" s="72">
        <v>132.69999999999999</v>
      </c>
      <c r="T104" s="72">
        <v>132.69999999999999</v>
      </c>
      <c r="U104" s="113">
        <v>131.6</v>
      </c>
      <c r="V104" s="113">
        <v>132.4</v>
      </c>
      <c r="W104" s="113">
        <v>132.4</v>
      </c>
      <c r="X104" s="113">
        <v>132.4</v>
      </c>
      <c r="Y104" s="113">
        <v>132.4</v>
      </c>
      <c r="Z104" s="113">
        <v>133.69999999999999</v>
      </c>
      <c r="AA104" s="113">
        <v>134</v>
      </c>
      <c r="AB104" s="113">
        <v>133.80000000000001</v>
      </c>
      <c r="AC104" s="113">
        <v>131.80000000000001</v>
      </c>
      <c r="AD104" s="113">
        <v>130.80000000000001</v>
      </c>
      <c r="AE104" s="113">
        <v>132.30000000000001</v>
      </c>
      <c r="AF104" s="113">
        <v>130</v>
      </c>
      <c r="AG104" s="114"/>
      <c r="AH104" s="52">
        <f t="shared" si="20"/>
        <v>134.80000000000001</v>
      </c>
      <c r="AI104" s="53">
        <f t="shared" si="21"/>
        <v>129.19999999999999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113">
        <v>124.4</v>
      </c>
      <c r="T105" s="113">
        <v>124.4</v>
      </c>
      <c r="U105" s="72">
        <v>128.30000000000001</v>
      </c>
      <c r="V105" s="72">
        <v>1285</v>
      </c>
      <c r="W105" s="72">
        <v>1285</v>
      </c>
      <c r="X105" s="72">
        <v>1285</v>
      </c>
      <c r="Y105" s="72">
        <v>1285</v>
      </c>
      <c r="Z105" s="72">
        <v>128.80000000000001</v>
      </c>
      <c r="AA105" s="72">
        <v>132.5</v>
      </c>
      <c r="AB105" s="72">
        <v>132.80000000000001</v>
      </c>
      <c r="AC105" s="72">
        <v>129.69999999999999</v>
      </c>
      <c r="AD105" s="72">
        <v>131.9</v>
      </c>
      <c r="AE105" s="72">
        <v>131.19999999999999</v>
      </c>
      <c r="AF105" s="72">
        <v>132.30000000000001</v>
      </c>
      <c r="AG105" s="111"/>
      <c r="AH105" s="52">
        <f t="shared" si="20"/>
        <v>1285</v>
      </c>
      <c r="AI105" s="53">
        <f t="shared" si="21"/>
        <v>124.4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66.2</v>
      </c>
      <c r="C106" s="99">
        <v>65.7</v>
      </c>
      <c r="D106" s="99">
        <v>65.7</v>
      </c>
      <c r="E106" s="99">
        <v>66.400000000000006</v>
      </c>
      <c r="F106" s="99">
        <v>66.400000000000006</v>
      </c>
      <c r="G106" s="99">
        <v>66.400000000000006</v>
      </c>
      <c r="H106" s="99">
        <v>65.8</v>
      </c>
      <c r="I106" s="99">
        <v>66.099999999999994</v>
      </c>
      <c r="J106" s="99">
        <v>65.8</v>
      </c>
      <c r="K106" s="99">
        <v>65.900000000000006</v>
      </c>
      <c r="L106" s="99">
        <v>65.3</v>
      </c>
      <c r="M106" s="99">
        <v>65.2</v>
      </c>
      <c r="N106" s="99">
        <v>65.2</v>
      </c>
      <c r="O106" s="99">
        <v>65.2</v>
      </c>
      <c r="P106" s="99">
        <v>65</v>
      </c>
      <c r="Q106" s="99">
        <v>65.2</v>
      </c>
      <c r="R106" s="99">
        <v>65.599999999999994</v>
      </c>
      <c r="S106" s="72">
        <v>65.5</v>
      </c>
      <c r="T106" s="72">
        <v>65.5</v>
      </c>
      <c r="U106" s="99">
        <v>65.400000000000006</v>
      </c>
      <c r="V106" s="99">
        <v>65.599999999999994</v>
      </c>
      <c r="W106" s="99">
        <v>65.599999999999994</v>
      </c>
      <c r="X106" s="99">
        <v>65.599999999999994</v>
      </c>
      <c r="Y106" s="99">
        <v>65.599999999999994</v>
      </c>
      <c r="Z106" s="99">
        <v>65.400000000000006</v>
      </c>
      <c r="AA106" s="99">
        <v>65.3</v>
      </c>
      <c r="AB106" s="99">
        <v>65.900000000000006</v>
      </c>
      <c r="AC106" s="99">
        <v>64.900000000000006</v>
      </c>
      <c r="AD106" s="99">
        <v>65.3</v>
      </c>
      <c r="AE106" s="99">
        <v>66.3</v>
      </c>
      <c r="AF106" s="99">
        <v>66.2</v>
      </c>
      <c r="AG106" s="115"/>
      <c r="AH106" s="52">
        <f t="shared" si="20"/>
        <v>66.400000000000006</v>
      </c>
      <c r="AI106" s="53">
        <f t="shared" si="21"/>
        <v>64.900000000000006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 t="s">
        <v>115</v>
      </c>
      <c r="AA107" s="99"/>
      <c r="AB107" s="99"/>
      <c r="AC107" s="99"/>
      <c r="AD107" s="99"/>
      <c r="AE107" s="99"/>
      <c r="AF107" s="99"/>
      <c r="AG107" s="115"/>
      <c r="AH107" s="52">
        <f t="shared" si="20"/>
        <v>0</v>
      </c>
      <c r="AI107" s="53">
        <f t="shared" si="21"/>
        <v>0</v>
      </c>
    </row>
    <row r="108" spans="1:88" ht="15.75" thickBot="1" x14ac:dyDescent="0.3">
      <c r="A108" s="117" t="s">
        <v>116</v>
      </c>
      <c r="B108" s="118">
        <f t="shared" ref="B108" si="32">SUM(B18,B24,B27:B28,B56,B58:B59,B61,B63,B109:B113,B135,B141,B147,B156,B158,B170,B177,B180:B181,B188,B190,B192,B196:B198,B200:B202,B207,B213:B214,B216:B218,B226,B231)</f>
        <v>136.5</v>
      </c>
      <c r="C108" s="118">
        <f t="shared" ref="C108:AF108" si="33">SUM(C18,C24,C27:C28,C56,C58:C59,C61,C63,C109:C113,C135,C141,C147,C156,C158,C170,C177,C180:C181,C188,C190,C192,C196:C198,C200:C202,C207,C213:C214,C216:C218,C226,C231)</f>
        <v>133.04000000000002</v>
      </c>
      <c r="D108" s="118">
        <f t="shared" si="33"/>
        <v>112.35</v>
      </c>
      <c r="E108" s="118">
        <f t="shared" si="33"/>
        <v>109.53999999999999</v>
      </c>
      <c r="F108" s="118">
        <f t="shared" si="33"/>
        <v>112.93999999999998</v>
      </c>
      <c r="G108" s="118">
        <f t="shared" si="33"/>
        <v>133.23999999999998</v>
      </c>
      <c r="H108" s="118">
        <f t="shared" si="33"/>
        <v>141.34</v>
      </c>
      <c r="I108" s="118">
        <f t="shared" si="33"/>
        <v>151.74</v>
      </c>
      <c r="J108" s="118">
        <f t="shared" si="33"/>
        <v>171.14</v>
      </c>
      <c r="K108" s="118">
        <f t="shared" si="33"/>
        <v>192.64</v>
      </c>
      <c r="L108" s="118">
        <f t="shared" si="33"/>
        <v>207.74</v>
      </c>
      <c r="M108" s="118">
        <f t="shared" si="33"/>
        <v>220.64</v>
      </c>
      <c r="N108" s="118">
        <f t="shared" si="33"/>
        <v>258.24</v>
      </c>
      <c r="O108" s="118">
        <f t="shared" si="33"/>
        <v>143.54</v>
      </c>
      <c r="P108" s="118">
        <v>42</v>
      </c>
      <c r="Q108" s="118">
        <f t="shared" si="33"/>
        <v>251.5</v>
      </c>
      <c r="R108" s="118">
        <f t="shared" si="33"/>
        <v>214.2</v>
      </c>
      <c r="S108" s="118">
        <f t="shared" si="33"/>
        <v>210.60000000000002</v>
      </c>
      <c r="T108" s="118">
        <f t="shared" si="33"/>
        <v>207.7</v>
      </c>
      <c r="U108" s="118">
        <f t="shared" si="33"/>
        <v>196.60000000000002</v>
      </c>
      <c r="V108" s="118">
        <f t="shared" si="33"/>
        <v>199.06</v>
      </c>
      <c r="W108" s="118">
        <f t="shared" si="33"/>
        <v>199.1</v>
      </c>
      <c r="X108" s="118">
        <f t="shared" si="33"/>
        <v>205.84</v>
      </c>
      <c r="Y108" s="118">
        <f t="shared" si="33"/>
        <v>229.59999999999997</v>
      </c>
      <c r="Z108" s="118">
        <f t="shared" si="33"/>
        <v>292</v>
      </c>
      <c r="AA108" s="118">
        <f t="shared" si="33"/>
        <v>276.3</v>
      </c>
      <c r="AB108" s="118">
        <f t="shared" si="33"/>
        <v>241.2</v>
      </c>
      <c r="AC108" s="118">
        <f t="shared" si="33"/>
        <v>220.79999999999995</v>
      </c>
      <c r="AD108" s="118">
        <f t="shared" si="33"/>
        <v>187.6</v>
      </c>
      <c r="AE108" s="118">
        <f t="shared" si="33"/>
        <v>125.50000000000001</v>
      </c>
      <c r="AF108" s="118">
        <f t="shared" si="33"/>
        <v>103.80000000000001</v>
      </c>
      <c r="AG108" s="119"/>
      <c r="AH108" s="52">
        <f t="shared" si="20"/>
        <v>292</v>
      </c>
      <c r="AI108" s="53">
        <f t="shared" si="21"/>
        <v>42</v>
      </c>
    </row>
    <row r="109" spans="1:88" x14ac:dyDescent="0.25">
      <c r="A109" s="107" t="s">
        <v>117</v>
      </c>
      <c r="B109" s="120">
        <v>4.4000000000000004</v>
      </c>
      <c r="C109" s="120">
        <v>-1</v>
      </c>
      <c r="D109" s="120">
        <v>-6.3</v>
      </c>
      <c r="E109" s="120">
        <v>-14.3</v>
      </c>
      <c r="F109" s="120">
        <v>-1.6</v>
      </c>
      <c r="G109" s="120">
        <v>23.1</v>
      </c>
      <c r="H109" s="120">
        <v>16.7</v>
      </c>
      <c r="I109" s="120">
        <v>17.5</v>
      </c>
      <c r="J109" s="120">
        <v>22</v>
      </c>
      <c r="K109" s="120">
        <v>29.8</v>
      </c>
      <c r="L109" s="120">
        <v>31.2</v>
      </c>
      <c r="M109" s="120">
        <v>30.6</v>
      </c>
      <c r="N109" s="120">
        <v>14.4</v>
      </c>
      <c r="O109" s="120">
        <v>8.9</v>
      </c>
      <c r="P109" s="120">
        <v>16.7</v>
      </c>
      <c r="Q109" s="120">
        <v>15.3</v>
      </c>
      <c r="R109" s="120">
        <v>10</v>
      </c>
      <c r="S109" s="120">
        <v>11.4</v>
      </c>
      <c r="T109" s="120">
        <v>12.1</v>
      </c>
      <c r="U109" s="120">
        <v>11.4</v>
      </c>
      <c r="V109" s="120">
        <v>18</v>
      </c>
      <c r="W109" s="120">
        <v>10.5</v>
      </c>
      <c r="X109" s="120">
        <v>10.54</v>
      </c>
      <c r="Y109" s="120">
        <v>11.3</v>
      </c>
      <c r="Z109" s="120">
        <v>32.299999999999997</v>
      </c>
      <c r="AA109" s="120">
        <v>48.2</v>
      </c>
      <c r="AB109" s="120">
        <v>45.6</v>
      </c>
      <c r="AC109" s="120">
        <v>45.9</v>
      </c>
      <c r="AD109" s="120">
        <v>38</v>
      </c>
      <c r="AE109" s="120">
        <v>30.2</v>
      </c>
      <c r="AF109" s="120">
        <v>27</v>
      </c>
      <c r="AG109" s="121">
        <v>75</v>
      </c>
      <c r="AH109" s="52">
        <f t="shared" si="20"/>
        <v>48.2</v>
      </c>
      <c r="AI109" s="53">
        <f t="shared" si="21"/>
        <v>-14.3</v>
      </c>
    </row>
    <row r="110" spans="1:88" x14ac:dyDescent="0.25">
      <c r="A110" s="110" t="s">
        <v>118</v>
      </c>
      <c r="B110" s="122">
        <v>7.7</v>
      </c>
      <c r="C110" s="122">
        <v>-2.1</v>
      </c>
      <c r="D110" s="122">
        <v>-2.6</v>
      </c>
      <c r="E110" s="122">
        <v>-15.5</v>
      </c>
      <c r="F110" s="122">
        <v>0</v>
      </c>
      <c r="G110" s="122">
        <v>36.200000000000003</v>
      </c>
      <c r="H110" s="122">
        <v>25</v>
      </c>
      <c r="I110" s="122">
        <v>26.5</v>
      </c>
      <c r="J110" s="122">
        <v>31.6</v>
      </c>
      <c r="K110" s="122">
        <v>38.200000000000003</v>
      </c>
      <c r="L110" s="122">
        <v>39.700000000000003</v>
      </c>
      <c r="M110" s="122">
        <v>38.4</v>
      </c>
      <c r="N110" s="122">
        <v>15.4</v>
      </c>
      <c r="O110" s="122">
        <v>8.6999999999999993</v>
      </c>
      <c r="P110" s="122">
        <v>26.4</v>
      </c>
      <c r="Q110" s="122">
        <v>25.8</v>
      </c>
      <c r="R110" s="122">
        <v>17.399999999999999</v>
      </c>
      <c r="S110" s="122">
        <v>18.7</v>
      </c>
      <c r="T110" s="122">
        <v>21.1</v>
      </c>
      <c r="U110" s="122">
        <v>21.6</v>
      </c>
      <c r="V110" s="122">
        <v>26.96</v>
      </c>
      <c r="W110" s="122">
        <v>14.7</v>
      </c>
      <c r="X110" s="122">
        <v>14.4</v>
      </c>
      <c r="Y110" s="122">
        <v>15.1</v>
      </c>
      <c r="Z110" s="122">
        <v>43.7</v>
      </c>
      <c r="AA110" s="122">
        <v>65.599999999999994</v>
      </c>
      <c r="AB110" s="122">
        <v>64.3</v>
      </c>
      <c r="AC110" s="122">
        <v>65.2</v>
      </c>
      <c r="AD110" s="122">
        <v>53.7</v>
      </c>
      <c r="AE110" s="122">
        <v>43.3</v>
      </c>
      <c r="AF110" s="122">
        <v>42</v>
      </c>
      <c r="AG110" s="121">
        <v>240</v>
      </c>
      <c r="AH110" s="52">
        <f t="shared" si="20"/>
        <v>65.599999999999994</v>
      </c>
      <c r="AI110" s="53">
        <f t="shared" si="21"/>
        <v>-15.5</v>
      </c>
    </row>
    <row r="111" spans="1:88" x14ac:dyDescent="0.25">
      <c r="A111" s="110" t="s">
        <v>119</v>
      </c>
      <c r="B111" s="122">
        <f>-22.4-26.1</f>
        <v>-48.5</v>
      </c>
      <c r="C111" s="122">
        <v>-53</v>
      </c>
      <c r="D111" s="122">
        <f>-29.8-33.1</f>
        <v>-62.900000000000006</v>
      </c>
      <c r="E111" s="122">
        <v>-46</v>
      </c>
      <c r="F111" s="122">
        <v>-62.7</v>
      </c>
      <c r="G111" s="122">
        <v>-68</v>
      </c>
      <c r="H111" s="122">
        <v>-74</v>
      </c>
      <c r="I111" s="122">
        <v>-73</v>
      </c>
      <c r="J111" s="122">
        <v>-60</v>
      </c>
      <c r="K111" s="122">
        <v>-47</v>
      </c>
      <c r="L111" s="122">
        <v>-47</v>
      </c>
      <c r="M111" s="122">
        <v>-38</v>
      </c>
      <c r="N111" s="122">
        <v>32</v>
      </c>
      <c r="O111" s="122">
        <f>-22.6+9.5</f>
        <v>-13.100000000000001</v>
      </c>
      <c r="P111" s="122">
        <v>-1</v>
      </c>
      <c r="Q111" s="122">
        <v>6.2</v>
      </c>
      <c r="R111" s="122">
        <v>-8</v>
      </c>
      <c r="S111" s="122">
        <v>-12.2</v>
      </c>
      <c r="T111" s="122">
        <v>-16.3</v>
      </c>
      <c r="U111" s="122">
        <v>-20.3</v>
      </c>
      <c r="V111" s="122">
        <v>-24</v>
      </c>
      <c r="W111" s="122">
        <v>-19</v>
      </c>
      <c r="X111" s="122">
        <v>-14</v>
      </c>
      <c r="Y111" s="122">
        <v>-4</v>
      </c>
      <c r="Z111" s="122">
        <v>-13.5</v>
      </c>
      <c r="AA111" s="122">
        <v>-28.7</v>
      </c>
      <c r="AB111" s="122">
        <v>-41</v>
      </c>
      <c r="AC111" s="122">
        <v>-54</v>
      </c>
      <c r="AD111" s="122">
        <v>-68</v>
      </c>
      <c r="AE111" s="122">
        <v>-63</v>
      </c>
      <c r="AF111" s="122">
        <v>-74</v>
      </c>
      <c r="AG111" s="121">
        <v>240</v>
      </c>
      <c r="AH111" s="52">
        <f t="shared" si="20"/>
        <v>32</v>
      </c>
      <c r="AI111" s="53">
        <f t="shared" si="21"/>
        <v>-74</v>
      </c>
    </row>
    <row r="112" spans="1:88" x14ac:dyDescent="0.25">
      <c r="A112" s="110" t="s">
        <v>120</v>
      </c>
      <c r="B112" s="122">
        <v>7.2</v>
      </c>
      <c r="C112" s="122">
        <v>3.1</v>
      </c>
      <c r="D112" s="122">
        <v>-6.69</v>
      </c>
      <c r="E112" s="122">
        <v>-9.8000000000000007</v>
      </c>
      <c r="F112" s="122">
        <v>-6.2</v>
      </c>
      <c r="G112" s="122">
        <v>-8.9</v>
      </c>
      <c r="H112" s="122">
        <v>28.8</v>
      </c>
      <c r="I112" s="122">
        <v>33.700000000000003</v>
      </c>
      <c r="J112" s="122">
        <v>38.6</v>
      </c>
      <c r="K112" s="122">
        <v>43.1</v>
      </c>
      <c r="L112" s="122">
        <v>46.6</v>
      </c>
      <c r="M112" s="122">
        <v>44.6</v>
      </c>
      <c r="N112" s="122">
        <v>48.7</v>
      </c>
      <c r="O112" s="122">
        <v>49.5</v>
      </c>
      <c r="P112" s="122">
        <v>46.5</v>
      </c>
      <c r="Q112" s="122">
        <v>46.4</v>
      </c>
      <c r="R112" s="122">
        <v>41.6</v>
      </c>
      <c r="S112" s="122">
        <v>43.8</v>
      </c>
      <c r="T112" s="122">
        <v>43.5</v>
      </c>
      <c r="U112" s="122">
        <v>43.5</v>
      </c>
      <c r="V112" s="122">
        <v>44.7</v>
      </c>
      <c r="W112" s="122">
        <v>45.4</v>
      </c>
      <c r="X112" s="122">
        <v>45.9</v>
      </c>
      <c r="Y112" s="122">
        <v>52.2</v>
      </c>
      <c r="Z112" s="122">
        <v>53</v>
      </c>
      <c r="AA112" s="122">
        <v>35.1</v>
      </c>
      <c r="AB112" s="122">
        <v>20</v>
      </c>
      <c r="AC112" s="122">
        <v>9.1999999999999993</v>
      </c>
      <c r="AD112" s="122">
        <v>5</v>
      </c>
      <c r="AE112" s="122">
        <v>4.5</v>
      </c>
      <c r="AF112" s="122">
        <v>1</v>
      </c>
      <c r="AG112" s="121">
        <v>60</v>
      </c>
      <c r="AH112" s="52">
        <f t="shared" si="20"/>
        <v>53</v>
      </c>
      <c r="AI112" s="53">
        <f t="shared" si="21"/>
        <v>-9.8000000000000007</v>
      </c>
    </row>
    <row r="113" spans="1:37" x14ac:dyDescent="0.25">
      <c r="A113" s="123" t="s">
        <v>121</v>
      </c>
      <c r="B113" s="124">
        <v>78.7</v>
      </c>
      <c r="C113" s="124">
        <v>95.6</v>
      </c>
      <c r="D113" s="124">
        <v>101</v>
      </c>
      <c r="E113" s="124">
        <v>105.3</v>
      </c>
      <c r="F113" s="124">
        <v>93.6</v>
      </c>
      <c r="G113" s="124">
        <v>61</v>
      </c>
      <c r="H113" s="124">
        <v>55.3</v>
      </c>
      <c r="I113" s="124">
        <v>57.5</v>
      </c>
      <c r="J113" s="124">
        <v>49.4</v>
      </c>
      <c r="K113" s="124">
        <v>39</v>
      </c>
      <c r="L113" s="124">
        <v>47.7</v>
      </c>
      <c r="M113" s="124">
        <v>55.5</v>
      </c>
      <c r="N113" s="124">
        <v>58.2</v>
      </c>
      <c r="O113" s="124" t="s">
        <v>270</v>
      </c>
      <c r="P113" s="124">
        <v>54</v>
      </c>
      <c r="Q113" s="124">
        <v>69.2</v>
      </c>
      <c r="R113" s="124">
        <v>64.599999999999994</v>
      </c>
      <c r="S113" s="124">
        <v>60.3</v>
      </c>
      <c r="T113" s="124">
        <v>58.7</v>
      </c>
      <c r="U113" s="124">
        <v>51.8</v>
      </c>
      <c r="V113" s="124">
        <v>44.8</v>
      </c>
      <c r="W113" s="124">
        <v>58.9</v>
      </c>
      <c r="X113" s="124">
        <v>60.4</v>
      </c>
      <c r="Y113" s="124">
        <v>65.7</v>
      </c>
      <c r="Z113" s="124">
        <v>79.400000000000006</v>
      </c>
      <c r="AA113" s="124">
        <v>59</v>
      </c>
      <c r="AB113" s="124">
        <v>48.2</v>
      </c>
      <c r="AC113" s="124">
        <v>48.7</v>
      </c>
      <c r="AD113" s="124">
        <v>53.1</v>
      </c>
      <c r="AE113" s="124">
        <v>4.7</v>
      </c>
      <c r="AF113" s="124">
        <v>8</v>
      </c>
      <c r="AG113" s="125">
        <v>120</v>
      </c>
      <c r="AH113" s="52">
        <f t="shared" si="20"/>
        <v>105.3</v>
      </c>
      <c r="AI113" s="53">
        <f t="shared" si="21"/>
        <v>4.7</v>
      </c>
    </row>
    <row r="114" spans="1:37" x14ac:dyDescent="0.25">
      <c r="A114" s="123" t="s">
        <v>122</v>
      </c>
      <c r="B114" s="124">
        <v>90.5</v>
      </c>
      <c r="C114" s="124">
        <v>91</v>
      </c>
      <c r="D114" s="124">
        <v>96.51</v>
      </c>
      <c r="E114" s="124">
        <v>90.8</v>
      </c>
      <c r="F114" s="124">
        <v>95.3</v>
      </c>
      <c r="G114" s="124">
        <v>67.5</v>
      </c>
      <c r="H114" s="124">
        <v>62.6</v>
      </c>
      <c r="I114" s="124">
        <v>63.1</v>
      </c>
      <c r="J114" s="124">
        <v>55.9</v>
      </c>
      <c r="K114" s="124">
        <v>38.700000000000003</v>
      </c>
      <c r="L114" s="124">
        <v>54.4</v>
      </c>
      <c r="M114" s="124">
        <v>53.2</v>
      </c>
      <c r="N114" s="124">
        <v>52.6</v>
      </c>
      <c r="O114" s="124">
        <v>67.7</v>
      </c>
      <c r="P114" s="124">
        <v>69.099999999999994</v>
      </c>
      <c r="Q114" s="124">
        <v>62.4</v>
      </c>
      <c r="R114" s="124">
        <v>71.099999999999994</v>
      </c>
      <c r="S114" s="124">
        <v>67.5</v>
      </c>
      <c r="T114" s="124">
        <v>73</v>
      </c>
      <c r="U114" s="124">
        <v>64.8</v>
      </c>
      <c r="V114" s="124">
        <v>64.900000000000006</v>
      </c>
      <c r="W114" s="124">
        <v>74.2</v>
      </c>
      <c r="X114" s="124">
        <v>69.2</v>
      </c>
      <c r="Y114" s="124">
        <v>68</v>
      </c>
      <c r="Z114" s="124">
        <v>65.5</v>
      </c>
      <c r="AA114" s="124">
        <v>51.8</v>
      </c>
      <c r="AB114" s="124">
        <v>48.2</v>
      </c>
      <c r="AC114" s="124">
        <v>56</v>
      </c>
      <c r="AD114" s="124">
        <v>64</v>
      </c>
      <c r="AE114" s="124">
        <v>68</v>
      </c>
      <c r="AF114" s="124">
        <v>65</v>
      </c>
      <c r="AG114" s="125"/>
      <c r="AH114" s="52">
        <f t="shared" si="20"/>
        <v>96.51</v>
      </c>
      <c r="AI114" s="53">
        <f t="shared" si="21"/>
        <v>38.700000000000003</v>
      </c>
    </row>
    <row r="115" spans="1:37" x14ac:dyDescent="0.25">
      <c r="A115" s="123" t="s">
        <v>123</v>
      </c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>
        <v>48.5</v>
      </c>
      <c r="T115" s="124">
        <v>30.8</v>
      </c>
      <c r="U115" s="124">
        <v>32.200000000000003</v>
      </c>
      <c r="V115" s="124"/>
      <c r="W115" s="124">
        <v>40.700000000000003</v>
      </c>
      <c r="X115" s="124">
        <v>40.9</v>
      </c>
      <c r="Y115" s="124">
        <v>37.799999999999997</v>
      </c>
      <c r="Z115" s="124">
        <v>39.700000000000003</v>
      </c>
      <c r="AA115" s="124">
        <v>20.6</v>
      </c>
      <c r="AB115" s="124">
        <v>16.7</v>
      </c>
      <c r="AC115" s="124">
        <v>20</v>
      </c>
      <c r="AD115" s="124">
        <v>31</v>
      </c>
      <c r="AE115" s="124">
        <v>41</v>
      </c>
      <c r="AF115" s="124">
        <v>42</v>
      </c>
      <c r="AG115" s="126"/>
      <c r="AH115" s="52">
        <f t="shared" si="20"/>
        <v>48.5</v>
      </c>
      <c r="AI115" s="53">
        <f t="shared" si="21"/>
        <v>16.7</v>
      </c>
    </row>
    <row r="116" spans="1:37" x14ac:dyDescent="0.25">
      <c r="A116" s="127" t="s">
        <v>124</v>
      </c>
      <c r="B116" s="113">
        <v>-11.9</v>
      </c>
      <c r="C116" s="113">
        <v>-8</v>
      </c>
      <c r="D116" s="113">
        <v>0.6</v>
      </c>
      <c r="E116" s="113">
        <v>3.8</v>
      </c>
      <c r="F116" s="113">
        <v>6.7</v>
      </c>
      <c r="G116" s="113">
        <v>4.4000000000000004</v>
      </c>
      <c r="H116" s="113">
        <v>-2.8</v>
      </c>
      <c r="I116" s="113">
        <v>-3.9</v>
      </c>
      <c r="J116" s="113">
        <v>-6.8</v>
      </c>
      <c r="K116" s="113">
        <v>-10.9</v>
      </c>
      <c r="L116" s="113">
        <v>-11.5</v>
      </c>
      <c r="M116" s="113"/>
      <c r="N116" s="113">
        <v>-16</v>
      </c>
      <c r="O116" s="113">
        <v>-11.9</v>
      </c>
      <c r="P116" s="113">
        <v>-11.5</v>
      </c>
      <c r="Q116" s="113">
        <v>-9.8000000000000007</v>
      </c>
      <c r="R116" s="113">
        <v>-9.6</v>
      </c>
      <c r="S116" s="113">
        <v>-7.1</v>
      </c>
      <c r="T116" s="113">
        <v>4.2</v>
      </c>
      <c r="U116" s="113">
        <v>2.9</v>
      </c>
      <c r="V116" s="113">
        <v>2.8</v>
      </c>
      <c r="W116" s="113">
        <v>-1.1000000000000001</v>
      </c>
      <c r="X116" s="113">
        <v>-2.7</v>
      </c>
      <c r="Y116" s="113">
        <v>-9.4</v>
      </c>
      <c r="Z116" s="113">
        <v>-14.2</v>
      </c>
      <c r="AA116" s="113">
        <v>-10.6</v>
      </c>
      <c r="AB116" s="113">
        <v>-3.8</v>
      </c>
      <c r="AC116" s="113">
        <v>0</v>
      </c>
      <c r="AD116" s="113">
        <v>4.4000000000000004</v>
      </c>
      <c r="AE116" s="113">
        <v>8.5</v>
      </c>
      <c r="AF116" s="113">
        <v>16</v>
      </c>
      <c r="AG116" s="126"/>
      <c r="AH116" s="52">
        <f t="shared" si="20"/>
        <v>16</v>
      </c>
      <c r="AI116" s="53">
        <f t="shared" si="21"/>
        <v>-16</v>
      </c>
    </row>
    <row r="117" spans="1:37" ht="15.75" thickBot="1" x14ac:dyDescent="0.3">
      <c r="A117" s="127" t="s">
        <v>125</v>
      </c>
      <c r="B117" s="113">
        <v>88.9</v>
      </c>
      <c r="C117" s="113">
        <v>81.400000000000006</v>
      </c>
      <c r="D117" s="113">
        <v>75.5</v>
      </c>
      <c r="E117" s="113">
        <v>72.8</v>
      </c>
      <c r="F117" s="113">
        <v>72.900000000000006</v>
      </c>
      <c r="G117" s="113">
        <v>69.099999999999994</v>
      </c>
      <c r="H117" s="113">
        <v>66</v>
      </c>
      <c r="I117" s="113">
        <v>65.8</v>
      </c>
      <c r="J117" s="113">
        <v>32.6</v>
      </c>
      <c r="K117" s="113">
        <v>34.9</v>
      </c>
      <c r="L117" s="113">
        <v>27.2</v>
      </c>
      <c r="M117" s="113"/>
      <c r="N117" s="113">
        <v>56.4</v>
      </c>
      <c r="O117" s="113">
        <v>53.1</v>
      </c>
      <c r="P117" s="113">
        <v>51</v>
      </c>
      <c r="Q117" s="113">
        <v>52.9</v>
      </c>
      <c r="R117" s="113">
        <v>50.6</v>
      </c>
      <c r="S117" s="113">
        <v>42.8</v>
      </c>
      <c r="T117" s="113">
        <v>40.799999999999997</v>
      </c>
      <c r="U117" s="113">
        <v>32.200000000000003</v>
      </c>
      <c r="V117" s="113">
        <v>35.799999999999997</v>
      </c>
      <c r="W117" s="113">
        <v>46.2</v>
      </c>
      <c r="X117" s="113">
        <v>44.7</v>
      </c>
      <c r="Y117" s="113">
        <v>49.9</v>
      </c>
      <c r="Z117" s="113">
        <v>60.3</v>
      </c>
      <c r="AA117" s="113">
        <v>57.8</v>
      </c>
      <c r="AB117" s="113">
        <v>54</v>
      </c>
      <c r="AC117" s="113">
        <v>49</v>
      </c>
      <c r="AD117" s="113">
        <v>45.2</v>
      </c>
      <c r="AE117" s="113">
        <v>41</v>
      </c>
      <c r="AF117" s="113">
        <v>28</v>
      </c>
      <c r="AG117" s="126"/>
      <c r="AH117" s="52">
        <f t="shared" si="20"/>
        <v>88.9</v>
      </c>
      <c r="AI117" s="53">
        <f t="shared" si="21"/>
        <v>27.2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34">SUM(B119:B223)</f>
        <v>0</v>
      </c>
      <c r="C224" s="144">
        <f t="shared" si="34"/>
        <v>0</v>
      </c>
      <c r="D224" s="144">
        <f t="shared" si="34"/>
        <v>0</v>
      </c>
      <c r="E224" s="144">
        <f t="shared" si="34"/>
        <v>0</v>
      </c>
      <c r="F224" s="144">
        <f t="shared" si="34"/>
        <v>0</v>
      </c>
      <c r="G224" s="144">
        <f t="shared" si="34"/>
        <v>0</v>
      </c>
      <c r="H224" s="144">
        <f t="shared" si="34"/>
        <v>0</v>
      </c>
      <c r="I224" s="144">
        <f t="shared" si="34"/>
        <v>0</v>
      </c>
      <c r="J224" s="144">
        <f t="shared" si="34"/>
        <v>0</v>
      </c>
      <c r="K224" s="144">
        <f t="shared" si="34"/>
        <v>0</v>
      </c>
      <c r="L224" s="144">
        <f t="shared" si="34"/>
        <v>0</v>
      </c>
      <c r="M224" s="144">
        <f t="shared" si="34"/>
        <v>0</v>
      </c>
      <c r="N224" s="144">
        <f t="shared" si="34"/>
        <v>0</v>
      </c>
      <c r="O224" s="144">
        <f t="shared" si="34"/>
        <v>0</v>
      </c>
      <c r="P224" s="144">
        <f t="shared" si="34"/>
        <v>0</v>
      </c>
      <c r="Q224" s="144">
        <f t="shared" si="34"/>
        <v>0</v>
      </c>
      <c r="R224" s="144">
        <f t="shared" si="34"/>
        <v>0</v>
      </c>
      <c r="S224" s="144">
        <f t="shared" si="34"/>
        <v>0</v>
      </c>
      <c r="T224" s="144">
        <f t="shared" si="34"/>
        <v>0</v>
      </c>
      <c r="U224" s="144">
        <f t="shared" si="34"/>
        <v>0</v>
      </c>
      <c r="V224" s="144">
        <f t="shared" si="34"/>
        <v>0</v>
      </c>
      <c r="W224" s="144">
        <f t="shared" si="34"/>
        <v>0</v>
      </c>
      <c r="X224" s="144">
        <f t="shared" si="34"/>
        <v>0</v>
      </c>
      <c r="Y224" s="144">
        <f t="shared" si="34"/>
        <v>0</v>
      </c>
      <c r="Z224" s="144">
        <f t="shared" si="34"/>
        <v>0</v>
      </c>
      <c r="AA224" s="144">
        <f t="shared" si="34"/>
        <v>0</v>
      </c>
      <c r="AB224" s="144">
        <f t="shared" si="34"/>
        <v>0</v>
      </c>
      <c r="AC224" s="144">
        <f t="shared" si="34"/>
        <v>0</v>
      </c>
      <c r="AD224" s="144">
        <f t="shared" si="34"/>
        <v>0</v>
      </c>
      <c r="AE224" s="144">
        <f t="shared" si="34"/>
        <v>0</v>
      </c>
      <c r="AF224" s="145">
        <f t="shared" si="34"/>
        <v>0</v>
      </c>
      <c r="AG224" s="146">
        <f t="shared" si="34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35">AF226</f>
        <v>0</v>
      </c>
      <c r="C226" s="149">
        <v>0.3</v>
      </c>
      <c r="D226" s="149">
        <f t="shared" ref="D226:P231" si="36">C226</f>
        <v>0.3</v>
      </c>
      <c r="E226" s="149">
        <f t="shared" si="36"/>
        <v>0.3</v>
      </c>
      <c r="F226" s="149">
        <f t="shared" si="36"/>
        <v>0.3</v>
      </c>
      <c r="G226" s="149">
        <f t="shared" si="36"/>
        <v>0.3</v>
      </c>
      <c r="H226" s="149">
        <f t="shared" si="36"/>
        <v>0.3</v>
      </c>
      <c r="I226" s="149">
        <f t="shared" si="36"/>
        <v>0.3</v>
      </c>
      <c r="J226" s="149">
        <f t="shared" si="36"/>
        <v>0.3</v>
      </c>
      <c r="K226" s="149">
        <f t="shared" si="36"/>
        <v>0.3</v>
      </c>
      <c r="L226" s="149">
        <f t="shared" si="36"/>
        <v>0.3</v>
      </c>
      <c r="M226" s="149">
        <f t="shared" si="36"/>
        <v>0.3</v>
      </c>
      <c r="N226" s="149">
        <f t="shared" si="36"/>
        <v>0.3</v>
      </c>
      <c r="O226" s="149">
        <f t="shared" si="36"/>
        <v>0.3</v>
      </c>
      <c r="P226" s="149">
        <f t="shared" si="36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35"/>
        <v>0</v>
      </c>
      <c r="C227" s="136">
        <v>0.4</v>
      </c>
      <c r="D227" s="136">
        <f t="shared" si="36"/>
        <v>0.4</v>
      </c>
      <c r="E227" s="136">
        <f t="shared" si="36"/>
        <v>0.4</v>
      </c>
      <c r="F227" s="136">
        <f t="shared" si="36"/>
        <v>0.4</v>
      </c>
      <c r="G227" s="136">
        <f t="shared" si="36"/>
        <v>0.4</v>
      </c>
      <c r="H227" s="136">
        <f t="shared" si="36"/>
        <v>0.4</v>
      </c>
      <c r="I227" s="136">
        <f t="shared" si="36"/>
        <v>0.4</v>
      </c>
      <c r="J227" s="136">
        <f t="shared" si="36"/>
        <v>0.4</v>
      </c>
      <c r="K227" s="136">
        <f t="shared" si="36"/>
        <v>0.4</v>
      </c>
      <c r="L227" s="136">
        <f t="shared" si="36"/>
        <v>0.4</v>
      </c>
      <c r="M227" s="136">
        <f t="shared" si="36"/>
        <v>0.4</v>
      </c>
      <c r="N227" s="136">
        <f t="shared" si="36"/>
        <v>0.4</v>
      </c>
      <c r="O227" s="136">
        <f t="shared" si="36"/>
        <v>0.4</v>
      </c>
      <c r="P227" s="136">
        <f t="shared" si="36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35"/>
        <v>0</v>
      </c>
      <c r="C228" s="136">
        <v>1.5</v>
      </c>
      <c r="D228" s="136">
        <f t="shared" si="36"/>
        <v>1.5</v>
      </c>
      <c r="E228" s="136">
        <f t="shared" si="36"/>
        <v>1.5</v>
      </c>
      <c r="F228" s="136">
        <f t="shared" si="36"/>
        <v>1.5</v>
      </c>
      <c r="G228" s="136">
        <f t="shared" si="36"/>
        <v>1.5</v>
      </c>
      <c r="H228" s="136">
        <f t="shared" si="36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36"/>
        <v>1.5</v>
      </c>
      <c r="K228" s="136">
        <f t="shared" ca="1" si="36"/>
        <v>1.5</v>
      </c>
      <c r="L228" s="136">
        <f t="shared" ca="1" si="36"/>
        <v>1.5</v>
      </c>
      <c r="M228" s="136">
        <f t="shared" ca="1" si="36"/>
        <v>1.5</v>
      </c>
      <c r="N228" s="136">
        <f t="shared" ca="1" si="36"/>
        <v>1.5</v>
      </c>
      <c r="O228" s="136">
        <f t="shared" ca="1" si="36"/>
        <v>1.5</v>
      </c>
      <c r="P228" s="136">
        <f t="shared" ca="1" si="36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35"/>
        <v>0</v>
      </c>
      <c r="C229" s="136">
        <v>0.3</v>
      </c>
      <c r="D229" s="136">
        <f t="shared" si="36"/>
        <v>0.3</v>
      </c>
      <c r="E229" s="136">
        <f t="shared" si="36"/>
        <v>0.3</v>
      </c>
      <c r="F229" s="136">
        <f t="shared" si="36"/>
        <v>0.3</v>
      </c>
      <c r="G229" s="136">
        <f t="shared" si="36"/>
        <v>0.3</v>
      </c>
      <c r="H229" s="136">
        <f t="shared" si="36"/>
        <v>0.3</v>
      </c>
      <c r="I229" s="136">
        <f t="shared" si="36"/>
        <v>0.3</v>
      </c>
      <c r="J229" s="136">
        <f t="shared" si="36"/>
        <v>0.3</v>
      </c>
      <c r="K229" s="136">
        <f t="shared" si="36"/>
        <v>0.3</v>
      </c>
      <c r="L229" s="136">
        <f t="shared" si="36"/>
        <v>0.3</v>
      </c>
      <c r="M229" s="136">
        <f t="shared" si="36"/>
        <v>0.3</v>
      </c>
      <c r="N229" s="136">
        <f t="shared" si="36"/>
        <v>0.3</v>
      </c>
      <c r="O229" s="136">
        <f t="shared" si="36"/>
        <v>0.3</v>
      </c>
      <c r="P229" s="136">
        <f t="shared" si="36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35"/>
        <v>0</v>
      </c>
      <c r="C230" s="136">
        <v>0.4</v>
      </c>
      <c r="D230" s="136">
        <f t="shared" si="36"/>
        <v>0.4</v>
      </c>
      <c r="E230" s="136">
        <f t="shared" si="36"/>
        <v>0.4</v>
      </c>
      <c r="F230" s="136">
        <f t="shared" si="36"/>
        <v>0.4</v>
      </c>
      <c r="G230" s="136">
        <f t="shared" si="36"/>
        <v>0.4</v>
      </c>
      <c r="H230" s="136">
        <f t="shared" si="36"/>
        <v>0.4</v>
      </c>
      <c r="I230" s="136">
        <f t="shared" si="36"/>
        <v>0.4</v>
      </c>
      <c r="J230" s="136">
        <f t="shared" si="36"/>
        <v>0.4</v>
      </c>
      <c r="K230" s="136">
        <f t="shared" si="36"/>
        <v>0.4</v>
      </c>
      <c r="L230" s="136">
        <f t="shared" si="36"/>
        <v>0.4</v>
      </c>
      <c r="M230" s="136">
        <f t="shared" si="36"/>
        <v>0.4</v>
      </c>
      <c r="N230" s="136">
        <f t="shared" si="36"/>
        <v>0.4</v>
      </c>
      <c r="O230" s="136">
        <f t="shared" si="36"/>
        <v>0.4</v>
      </c>
      <c r="P230" s="136">
        <f t="shared" si="36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35"/>
        <v>0</v>
      </c>
      <c r="C231" s="140">
        <v>0.64</v>
      </c>
      <c r="D231" s="140">
        <f t="shared" si="36"/>
        <v>0.64</v>
      </c>
      <c r="E231" s="140">
        <f t="shared" si="36"/>
        <v>0.64</v>
      </c>
      <c r="F231" s="140">
        <f t="shared" si="36"/>
        <v>0.64</v>
      </c>
      <c r="G231" s="140">
        <f t="shared" si="36"/>
        <v>0.64</v>
      </c>
      <c r="H231" s="140">
        <f t="shared" si="36"/>
        <v>0.64</v>
      </c>
      <c r="I231" s="140">
        <f t="shared" si="36"/>
        <v>0.64</v>
      </c>
      <c r="J231" s="140">
        <f t="shared" si="36"/>
        <v>0.64</v>
      </c>
      <c r="K231" s="140">
        <f t="shared" si="36"/>
        <v>0.64</v>
      </c>
      <c r="L231" s="140">
        <f t="shared" si="36"/>
        <v>0.64</v>
      </c>
      <c r="M231" s="140">
        <f t="shared" si="36"/>
        <v>0.64</v>
      </c>
      <c r="N231" s="140">
        <f t="shared" si="36"/>
        <v>0.64</v>
      </c>
      <c r="O231" s="140">
        <f t="shared" si="36"/>
        <v>0.64</v>
      </c>
      <c r="P231" s="140">
        <f t="shared" si="36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37">SUM(B226:B231)</f>
        <v>0</v>
      </c>
      <c r="C232" s="144">
        <f t="shared" si="37"/>
        <v>3.54</v>
      </c>
      <c r="D232" s="144">
        <f t="shared" si="37"/>
        <v>3.54</v>
      </c>
      <c r="E232" s="144">
        <f t="shared" si="37"/>
        <v>3.54</v>
      </c>
      <c r="F232" s="144">
        <f t="shared" si="37"/>
        <v>3.54</v>
      </c>
      <c r="G232" s="144">
        <f t="shared" si="37"/>
        <v>3.54</v>
      </c>
      <c r="H232" s="144">
        <f t="shared" si="37"/>
        <v>3.54</v>
      </c>
      <c r="I232" s="144">
        <f t="shared" ca="1" si="37"/>
        <v>3.54</v>
      </c>
      <c r="J232" s="144">
        <f t="shared" ca="1" si="37"/>
        <v>3.54</v>
      </c>
      <c r="K232" s="144">
        <f t="shared" ca="1" si="37"/>
        <v>3.54</v>
      </c>
      <c r="L232" s="144">
        <f t="shared" ca="1" si="37"/>
        <v>3.54</v>
      </c>
      <c r="M232" s="144">
        <f t="shared" ca="1" si="37"/>
        <v>3.54</v>
      </c>
      <c r="N232" s="144">
        <f t="shared" ca="1" si="37"/>
        <v>3.54</v>
      </c>
      <c r="O232" s="144">
        <f t="shared" ca="1" si="37"/>
        <v>3.54</v>
      </c>
      <c r="P232" s="144">
        <f t="shared" ca="1" si="37"/>
        <v>3.54</v>
      </c>
      <c r="Q232" s="144">
        <f t="shared" si="37"/>
        <v>0</v>
      </c>
      <c r="R232" s="144">
        <f t="shared" si="37"/>
        <v>0</v>
      </c>
      <c r="S232" s="144">
        <f t="shared" si="37"/>
        <v>0</v>
      </c>
      <c r="T232" s="144">
        <f t="shared" si="37"/>
        <v>0</v>
      </c>
      <c r="U232" s="144">
        <f t="shared" si="37"/>
        <v>0</v>
      </c>
      <c r="V232" s="144">
        <f t="shared" si="37"/>
        <v>0</v>
      </c>
      <c r="W232" s="144">
        <f t="shared" si="37"/>
        <v>0</v>
      </c>
      <c r="X232" s="144">
        <f t="shared" si="37"/>
        <v>0</v>
      </c>
      <c r="Y232" s="144">
        <f t="shared" si="37"/>
        <v>0</v>
      </c>
      <c r="Z232" s="144">
        <f t="shared" si="37"/>
        <v>0</v>
      </c>
      <c r="AA232" s="144">
        <f t="shared" si="37"/>
        <v>0</v>
      </c>
      <c r="AB232" s="144">
        <f t="shared" si="37"/>
        <v>0</v>
      </c>
      <c r="AC232" s="144">
        <f t="shared" si="37"/>
        <v>0</v>
      </c>
      <c r="AD232" s="144">
        <f t="shared" si="37"/>
        <v>0</v>
      </c>
      <c r="AE232" s="144">
        <f t="shared" si="37"/>
        <v>0</v>
      </c>
      <c r="AF232" s="144">
        <f t="shared" si="37"/>
        <v>0</v>
      </c>
      <c r="AG232" s="154">
        <f t="shared" si="37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1252.74</v>
      </c>
      <c r="C241" s="170">
        <f>INDEX(G9:N9,1,MATCH(MAX(G89:N89),G89:N89,0))</f>
        <v>0.375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18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2079/12/18)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2079/12/18)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38">B89</f>
        <v>1220.54</v>
      </c>
      <c r="U246" s="180">
        <f t="shared" si="38"/>
        <v>1180.04</v>
      </c>
      <c r="V246" s="180">
        <f t="shared" si="38"/>
        <v>1186.04</v>
      </c>
      <c r="W246" s="180">
        <f t="shared" si="38"/>
        <v>1168.44</v>
      </c>
      <c r="X246" s="180">
        <f t="shared" si="38"/>
        <v>1162.24</v>
      </c>
      <c r="Y246" s="180">
        <f t="shared" si="38"/>
        <v>1181.44</v>
      </c>
      <c r="Z246" s="180">
        <f t="shared" si="38"/>
        <v>1208.3400000000001</v>
      </c>
      <c r="AA246" s="180">
        <f t="shared" si="38"/>
        <v>1225.74</v>
      </c>
      <c r="AB246" s="180">
        <f t="shared" si="38"/>
        <v>1189.24</v>
      </c>
      <c r="AC246" s="180">
        <f t="shared" si="38"/>
        <v>1219.3399999999999</v>
      </c>
      <c r="AD246" s="180">
        <f t="shared" si="38"/>
        <v>1206.3400000000001</v>
      </c>
      <c r="AE246" s="180">
        <f t="shared" si="38"/>
        <v>1234.6400000000001</v>
      </c>
      <c r="AF246" s="180">
        <f t="shared" si="38"/>
        <v>1252.74</v>
      </c>
      <c r="AG246" s="180">
        <f t="shared" si="38"/>
        <v>1236.8400000000001</v>
      </c>
      <c r="AH246" s="180">
        <f t="shared" si="38"/>
        <v>1317.04</v>
      </c>
      <c r="AI246" s="180">
        <f t="shared" si="38"/>
        <v>1123.74</v>
      </c>
      <c r="AJ246" s="180">
        <f t="shared" si="38"/>
        <v>1170.74</v>
      </c>
      <c r="AK246" s="180">
        <f t="shared" si="38"/>
        <v>1069.54</v>
      </c>
      <c r="AL246" s="180">
        <f t="shared" si="38"/>
        <v>1043.3399999999999</v>
      </c>
      <c r="AM246" s="180">
        <f t="shared" si="38"/>
        <v>1045.04</v>
      </c>
      <c r="AN246" s="180">
        <f t="shared" si="38"/>
        <v>1027.74</v>
      </c>
      <c r="AO246" s="180">
        <f t="shared" si="38"/>
        <v>1047.54</v>
      </c>
      <c r="AP246" s="180">
        <f t="shared" si="38"/>
        <v>1035.1399999999999</v>
      </c>
      <c r="AQ246" s="180">
        <f t="shared" si="38"/>
        <v>1083.8400000000001</v>
      </c>
      <c r="AR246" s="180">
        <f t="shared" si="38"/>
        <v>1320.04</v>
      </c>
      <c r="AS246" s="180">
        <f t="shared" si="38"/>
        <v>1302.94</v>
      </c>
      <c r="AT246" s="180">
        <f t="shared" si="38"/>
        <v>1172.0400000000002</v>
      </c>
      <c r="AU246" s="180">
        <f t="shared" si="38"/>
        <v>1127.44</v>
      </c>
      <c r="AV246" s="180">
        <f t="shared" si="38"/>
        <v>1114.1400000000001</v>
      </c>
      <c r="AW246" s="180">
        <f t="shared" si="38"/>
        <v>985.33999999999992</v>
      </c>
      <c r="AX246" s="180">
        <f t="shared" si="38"/>
        <v>945.83999999999992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39">C231</f>
        <v>0.64</v>
      </c>
      <c r="C267" s="183">
        <f t="shared" si="39"/>
        <v>0.64</v>
      </c>
      <c r="D267" s="183">
        <f t="shared" si="39"/>
        <v>0.64</v>
      </c>
      <c r="E267" s="183">
        <f t="shared" si="39"/>
        <v>0.64</v>
      </c>
      <c r="F267" s="183">
        <f t="shared" si="39"/>
        <v>0.64</v>
      </c>
      <c r="G267" s="183">
        <f t="shared" si="39"/>
        <v>0.64</v>
      </c>
      <c r="H267" s="183">
        <f t="shared" si="39"/>
        <v>0.64</v>
      </c>
      <c r="I267" s="183">
        <f t="shared" si="39"/>
        <v>0.64</v>
      </c>
      <c r="J267" s="183">
        <f t="shared" si="39"/>
        <v>0.64</v>
      </c>
      <c r="K267" s="183">
        <f t="shared" si="39"/>
        <v>0.64</v>
      </c>
      <c r="L267" s="183">
        <f t="shared" si="39"/>
        <v>0.64</v>
      </c>
      <c r="M267" s="183">
        <f t="shared" si="39"/>
        <v>0.64</v>
      </c>
      <c r="N267" s="183">
        <f t="shared" si="39"/>
        <v>0.64</v>
      </c>
      <c r="O267" s="183">
        <f t="shared" si="39"/>
        <v>0.64</v>
      </c>
      <c r="P267" s="183">
        <f t="shared" si="39"/>
        <v>0</v>
      </c>
      <c r="Q267" s="183">
        <f t="shared" si="39"/>
        <v>0</v>
      </c>
      <c r="R267" s="183">
        <f t="shared" si="39"/>
        <v>0</v>
      </c>
      <c r="S267" s="183">
        <f t="shared" si="39"/>
        <v>0</v>
      </c>
      <c r="T267" s="183">
        <f t="shared" si="39"/>
        <v>0</v>
      </c>
      <c r="U267" s="183">
        <f t="shared" si="39"/>
        <v>0</v>
      </c>
      <c r="V267" s="183">
        <f t="shared" si="39"/>
        <v>0</v>
      </c>
      <c r="W267" s="183">
        <f t="shared" si="39"/>
        <v>0</v>
      </c>
      <c r="X267" s="183">
        <f t="shared" si="39"/>
        <v>0</v>
      </c>
      <c r="Y267" s="183">
        <f t="shared" si="39"/>
        <v>0</v>
      </c>
      <c r="Z267" s="183">
        <f t="shared" si="39"/>
        <v>0</v>
      </c>
      <c r="AA267" s="183">
        <f t="shared" si="39"/>
        <v>0</v>
      </c>
      <c r="AB267" s="183">
        <f t="shared" si="39"/>
        <v>0</v>
      </c>
      <c r="AC267" s="183">
        <f t="shared" si="39"/>
        <v>0</v>
      </c>
      <c r="AD267" s="183">
        <f t="shared" si="39"/>
        <v>0</v>
      </c>
      <c r="AE267" s="183">
        <f t="shared" si="39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40">IF(B235&lt;100,"",B235-520)</f>
        <v/>
      </c>
      <c r="C268" s="184" t="str">
        <f t="shared" si="40"/>
        <v/>
      </c>
      <c r="D268" s="184" t="str">
        <f t="shared" si="40"/>
        <v/>
      </c>
      <c r="E268" s="184" t="str">
        <f t="shared" si="40"/>
        <v/>
      </c>
      <c r="F268" s="184" t="str">
        <f t="shared" si="40"/>
        <v/>
      </c>
      <c r="G268" s="184" t="str">
        <f t="shared" si="40"/>
        <v/>
      </c>
      <c r="H268" s="184" t="str">
        <f t="shared" si="40"/>
        <v/>
      </c>
      <c r="I268" s="184" t="str">
        <f t="shared" si="40"/>
        <v/>
      </c>
      <c r="J268" s="184" t="str">
        <f t="shared" si="40"/>
        <v/>
      </c>
      <c r="K268" s="184" t="str">
        <f t="shared" si="40"/>
        <v/>
      </c>
      <c r="L268" s="184" t="str">
        <f t="shared" si="40"/>
        <v/>
      </c>
      <c r="M268" s="184" t="str">
        <f t="shared" si="40"/>
        <v/>
      </c>
      <c r="N268" s="184" t="str">
        <f t="shared" si="40"/>
        <v/>
      </c>
      <c r="O268" s="184" t="str">
        <f t="shared" si="40"/>
        <v/>
      </c>
      <c r="P268" s="184" t="str">
        <f t="shared" si="40"/>
        <v/>
      </c>
      <c r="Q268" s="184" t="str">
        <f t="shared" si="40"/>
        <v/>
      </c>
      <c r="R268" s="184" t="str">
        <f t="shared" si="40"/>
        <v/>
      </c>
      <c r="S268" s="184" t="str">
        <f t="shared" si="40"/>
        <v/>
      </c>
      <c r="T268" s="184" t="str">
        <f t="shared" si="40"/>
        <v/>
      </c>
      <c r="U268" s="184" t="str">
        <f t="shared" si="40"/>
        <v/>
      </c>
      <c r="V268" s="184" t="str">
        <f t="shared" si="40"/>
        <v/>
      </c>
      <c r="W268" s="184" t="str">
        <f t="shared" si="40"/>
        <v/>
      </c>
      <c r="X268" s="184" t="str">
        <f t="shared" si="40"/>
        <v/>
      </c>
      <c r="Y268" s="184" t="str">
        <f t="shared" si="40"/>
        <v/>
      </c>
      <c r="Z268" s="184" t="str">
        <f t="shared" si="40"/>
        <v/>
      </c>
      <c r="AA268" s="184" t="str">
        <f t="shared" si="40"/>
        <v/>
      </c>
      <c r="AB268" s="184" t="str">
        <f t="shared" si="40"/>
        <v/>
      </c>
      <c r="AC268" s="184" t="str">
        <f t="shared" si="40"/>
        <v/>
      </c>
      <c r="AD268" s="184" t="str">
        <f t="shared" si="40"/>
        <v/>
      </c>
      <c r="AE268" s="184" t="str">
        <f t="shared" si="40"/>
        <v/>
      </c>
      <c r="AF268" s="184" t="str">
        <f t="shared" si="40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41">IF(B236&lt;100,"",B236-620)</f>
        <v/>
      </c>
      <c r="C269" s="184" t="str">
        <f t="shared" si="41"/>
        <v/>
      </c>
      <c r="D269" s="184" t="str">
        <f t="shared" si="41"/>
        <v/>
      </c>
      <c r="E269" s="184" t="str">
        <f t="shared" si="41"/>
        <v/>
      </c>
      <c r="F269" s="184" t="str">
        <f t="shared" si="41"/>
        <v/>
      </c>
      <c r="G269" s="184" t="str">
        <f t="shared" si="41"/>
        <v/>
      </c>
      <c r="H269" s="184" t="str">
        <f t="shared" si="41"/>
        <v/>
      </c>
      <c r="I269" s="184" t="str">
        <f t="shared" si="41"/>
        <v/>
      </c>
      <c r="J269" s="184" t="str">
        <f t="shared" si="41"/>
        <v/>
      </c>
      <c r="K269" s="184" t="str">
        <f t="shared" si="41"/>
        <v/>
      </c>
      <c r="L269" s="184" t="str">
        <f t="shared" si="41"/>
        <v/>
      </c>
      <c r="M269" s="184" t="str">
        <f t="shared" si="41"/>
        <v/>
      </c>
      <c r="N269" s="184" t="str">
        <f t="shared" si="41"/>
        <v/>
      </c>
      <c r="O269" s="184" t="str">
        <f t="shared" si="41"/>
        <v/>
      </c>
      <c r="P269" s="184" t="str">
        <f t="shared" si="41"/>
        <v/>
      </c>
      <c r="Q269" s="184" t="str">
        <f t="shared" si="41"/>
        <v/>
      </c>
      <c r="R269" s="184" t="str">
        <f t="shared" si="41"/>
        <v/>
      </c>
      <c r="S269" s="184" t="str">
        <f t="shared" si="41"/>
        <v/>
      </c>
      <c r="T269" s="184" t="str">
        <f t="shared" si="41"/>
        <v/>
      </c>
      <c r="U269" s="184" t="str">
        <f t="shared" si="41"/>
        <v/>
      </c>
      <c r="V269" s="184" t="str">
        <f t="shared" si="41"/>
        <v/>
      </c>
      <c r="W269" s="184" t="str">
        <f t="shared" si="41"/>
        <v/>
      </c>
      <c r="X269" s="184" t="str">
        <f t="shared" si="41"/>
        <v/>
      </c>
      <c r="Y269" s="184" t="str">
        <f t="shared" si="41"/>
        <v/>
      </c>
      <c r="Z269" s="184" t="str">
        <f t="shared" si="41"/>
        <v/>
      </c>
      <c r="AA269" s="184" t="str">
        <f t="shared" si="41"/>
        <v/>
      </c>
      <c r="AB269" s="184" t="str">
        <f t="shared" si="41"/>
        <v/>
      </c>
      <c r="AC269" s="184" t="str">
        <f t="shared" si="41"/>
        <v/>
      </c>
      <c r="AD269" s="184" t="str">
        <f t="shared" si="41"/>
        <v/>
      </c>
      <c r="AE269" s="184" t="str">
        <f t="shared" si="41"/>
        <v/>
      </c>
      <c r="AF269" s="184" t="str">
        <f t="shared" si="41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42">IF(B237&lt;100,"",B237-330)</f>
        <v/>
      </c>
      <c r="C270" s="184" t="str">
        <f t="shared" si="42"/>
        <v/>
      </c>
      <c r="D270" s="184" t="str">
        <f t="shared" si="42"/>
        <v/>
      </c>
      <c r="E270" s="184" t="str">
        <f t="shared" si="42"/>
        <v/>
      </c>
      <c r="F270" s="184" t="str">
        <f t="shared" si="42"/>
        <v/>
      </c>
      <c r="G270" s="184" t="str">
        <f t="shared" si="42"/>
        <v/>
      </c>
      <c r="H270" s="184" t="str">
        <f t="shared" si="42"/>
        <v/>
      </c>
      <c r="I270" s="184" t="str">
        <f t="shared" si="42"/>
        <v/>
      </c>
      <c r="J270" s="184" t="str">
        <f t="shared" si="42"/>
        <v/>
      </c>
      <c r="K270" s="184" t="str">
        <f t="shared" si="42"/>
        <v/>
      </c>
      <c r="L270" s="184" t="str">
        <f t="shared" si="42"/>
        <v/>
      </c>
      <c r="M270" s="184" t="str">
        <f t="shared" si="42"/>
        <v/>
      </c>
      <c r="N270" s="184" t="str">
        <f t="shared" si="42"/>
        <v/>
      </c>
      <c r="O270" s="184" t="str">
        <f t="shared" si="42"/>
        <v/>
      </c>
      <c r="P270" s="184" t="str">
        <f t="shared" si="42"/>
        <v/>
      </c>
      <c r="Q270" s="184" t="str">
        <f t="shared" si="42"/>
        <v/>
      </c>
      <c r="R270" s="184" t="str">
        <f t="shared" si="42"/>
        <v/>
      </c>
      <c r="S270" s="184" t="str">
        <f t="shared" si="42"/>
        <v/>
      </c>
      <c r="T270" s="184" t="str">
        <f t="shared" si="42"/>
        <v/>
      </c>
      <c r="U270" s="184" t="str">
        <f t="shared" si="42"/>
        <v/>
      </c>
      <c r="V270" s="184" t="str">
        <f t="shared" si="42"/>
        <v/>
      </c>
      <c r="W270" s="184" t="str">
        <f t="shared" si="42"/>
        <v/>
      </c>
      <c r="X270" s="184" t="str">
        <f t="shared" si="42"/>
        <v/>
      </c>
      <c r="Y270" s="184" t="str">
        <f t="shared" si="42"/>
        <v/>
      </c>
      <c r="Z270" s="184" t="str">
        <f t="shared" si="42"/>
        <v/>
      </c>
      <c r="AA270" s="184" t="str">
        <f t="shared" si="42"/>
        <v/>
      </c>
      <c r="AB270" s="184" t="str">
        <f t="shared" si="42"/>
        <v/>
      </c>
      <c r="AC270" s="184" t="str">
        <f t="shared" si="42"/>
        <v/>
      </c>
      <c r="AD270" s="184" t="str">
        <f t="shared" si="42"/>
        <v/>
      </c>
      <c r="AE270" s="184" t="str">
        <f t="shared" si="42"/>
        <v/>
      </c>
      <c r="AF270" s="184" t="str">
        <f t="shared" si="42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43">IF(B238&lt;100,"",B238-1500)</f>
        <v/>
      </c>
      <c r="C271" s="184" t="str">
        <f t="shared" si="43"/>
        <v/>
      </c>
      <c r="D271" s="184" t="str">
        <f t="shared" si="43"/>
        <v/>
      </c>
      <c r="E271" s="184" t="str">
        <f t="shared" si="43"/>
        <v/>
      </c>
      <c r="F271" s="184" t="str">
        <f t="shared" si="43"/>
        <v/>
      </c>
      <c r="G271" s="184" t="str">
        <f t="shared" si="43"/>
        <v/>
      </c>
      <c r="H271" s="184" t="str">
        <f t="shared" si="43"/>
        <v/>
      </c>
      <c r="I271" s="184" t="str">
        <f t="shared" si="43"/>
        <v/>
      </c>
      <c r="J271" s="184" t="str">
        <f t="shared" si="43"/>
        <v/>
      </c>
      <c r="K271" s="184" t="str">
        <f t="shared" si="43"/>
        <v/>
      </c>
      <c r="L271" s="184" t="str">
        <f t="shared" si="43"/>
        <v/>
      </c>
      <c r="M271" s="184" t="str">
        <f t="shared" si="43"/>
        <v/>
      </c>
      <c r="N271" s="184" t="str">
        <f t="shared" si="43"/>
        <v/>
      </c>
      <c r="O271" s="184" t="str">
        <f t="shared" si="43"/>
        <v/>
      </c>
      <c r="P271" s="184" t="str">
        <f t="shared" si="43"/>
        <v/>
      </c>
      <c r="Q271" s="184" t="str">
        <f t="shared" si="43"/>
        <v/>
      </c>
      <c r="R271" s="184" t="str">
        <f t="shared" si="43"/>
        <v/>
      </c>
      <c r="S271" s="184" t="str">
        <f t="shared" si="43"/>
        <v/>
      </c>
      <c r="T271" s="184" t="str">
        <f t="shared" si="43"/>
        <v/>
      </c>
      <c r="U271" s="184" t="str">
        <f t="shared" si="43"/>
        <v/>
      </c>
      <c r="V271" s="184" t="str">
        <f t="shared" si="43"/>
        <v/>
      </c>
      <c r="W271" s="184" t="str">
        <f t="shared" si="43"/>
        <v/>
      </c>
      <c r="X271" s="184" t="str">
        <f t="shared" si="43"/>
        <v/>
      </c>
      <c r="Y271" s="184" t="str">
        <f t="shared" si="43"/>
        <v/>
      </c>
      <c r="Z271" s="184" t="str">
        <f t="shared" si="43"/>
        <v/>
      </c>
      <c r="AA271" s="184" t="str">
        <f t="shared" si="43"/>
        <v/>
      </c>
      <c r="AB271" s="184" t="str">
        <f t="shared" si="43"/>
        <v/>
      </c>
      <c r="AC271" s="184" t="str">
        <f t="shared" si="43"/>
        <v/>
      </c>
      <c r="AD271" s="184" t="str">
        <f t="shared" si="43"/>
        <v/>
      </c>
      <c r="AE271" s="184" t="str">
        <f t="shared" si="43"/>
        <v/>
      </c>
      <c r="AF271" s="184" t="str">
        <f t="shared" si="43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6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62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3853" priority="458">
      <formula>B$9&gt;=20/24</formula>
    </cfRule>
    <cfRule type="expression" dxfId="3852" priority="459">
      <formula>AND(B$9&gt;=14/24,B$9&lt;20/24)</formula>
    </cfRule>
    <cfRule type="expression" dxfId="3851" priority="460">
      <formula>AND(B$9&gt;=8/24,B$9&lt;14/24)</formula>
    </cfRule>
    <cfRule type="expression" dxfId="3850" priority="461">
      <formula>B$9&lt;8/24</formula>
    </cfRule>
  </conditionalFormatting>
  <conditionalFormatting sqref="AL4:AL6">
    <cfRule type="iconSet" priority="457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3849" priority="456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3848" priority="455">
      <formula>$AH12=0</formula>
    </cfRule>
  </conditionalFormatting>
  <conditionalFormatting sqref="A114">
    <cfRule type="expression" dxfId="3847" priority="454">
      <formula>$AH114=0</formula>
    </cfRule>
  </conditionalFormatting>
  <conditionalFormatting sqref="AL42">
    <cfRule type="iconSet" priority="453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3846" priority="452">
      <formula>$AH45=0</formula>
    </cfRule>
  </conditionalFormatting>
  <conditionalFormatting sqref="A98">
    <cfRule type="expression" dxfId="3845" priority="451">
      <formula>$AH98=0</formula>
    </cfRule>
  </conditionalFormatting>
  <conditionalFormatting sqref="A18">
    <cfRule type="expression" dxfId="3844" priority="450">
      <formula>$AH18=0</formula>
    </cfRule>
  </conditionalFormatting>
  <conditionalFormatting sqref="A196:A201">
    <cfRule type="expression" dxfId="3843" priority="449">
      <formula>$AH196=0</formula>
    </cfRule>
  </conditionalFormatting>
  <conditionalFormatting sqref="A190:A195">
    <cfRule type="expression" dxfId="3842" priority="448">
      <formula>$AH190=0</formula>
    </cfRule>
  </conditionalFormatting>
  <conditionalFormatting sqref="A58">
    <cfRule type="expression" dxfId="3841" priority="447">
      <formula>$AH58=0</formula>
    </cfRule>
  </conditionalFormatting>
  <conditionalFormatting sqref="A94">
    <cfRule type="expression" dxfId="3840" priority="446">
      <formula>$AH94=0</formula>
    </cfRule>
  </conditionalFormatting>
  <conditionalFormatting sqref="AD99:AF99 E99:X99">
    <cfRule type="expression" dxfId="3839" priority="442">
      <formula>E$9&gt;=20/24</formula>
    </cfRule>
    <cfRule type="expression" dxfId="3838" priority="443">
      <formula>AND(E$9&gt;=14/24,E$9&lt;20/24)</formula>
    </cfRule>
    <cfRule type="expression" dxfId="3837" priority="444">
      <formula>AND(E$9&gt;=8/24,E$9&lt;14/24)</formula>
    </cfRule>
    <cfRule type="expression" dxfId="3836" priority="445">
      <formula>E$9&lt;8/24</formula>
    </cfRule>
  </conditionalFormatting>
  <conditionalFormatting sqref="AL43">
    <cfRule type="iconSet" priority="44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835" priority="464">
      <formula>C$9&gt;=20/24</formula>
    </cfRule>
    <cfRule type="expression" dxfId="3834" priority="465">
      <formula>AND(C$9&gt;=14/24,C$9&lt;20/24)</formula>
    </cfRule>
    <cfRule type="expression" dxfId="3833" priority="466">
      <formula>AND(C$9&gt;=8/24,C$9&lt;14/24)</formula>
    </cfRule>
    <cfRule type="expression" dxfId="3832" priority="467">
      <formula>C$9&lt;8/24</formula>
    </cfRule>
  </conditionalFormatting>
  <conditionalFormatting sqref="A233">
    <cfRule type="expression" dxfId="3831" priority="468">
      <formula>$AH233=0</formula>
    </cfRule>
  </conditionalFormatting>
  <conditionalFormatting sqref="AG245">
    <cfRule type="expression" dxfId="3830" priority="469">
      <formula>B$9&gt;=20/24</formula>
    </cfRule>
    <cfRule type="expression" dxfId="3829" priority="470">
      <formula>AND(B$9&gt;=14/24,B$9&lt;20/24)</formula>
    </cfRule>
    <cfRule type="expression" dxfId="3828" priority="471">
      <formula>AND(B$9&gt;=8/24,B$9&lt;14/24)</formula>
    </cfRule>
    <cfRule type="expression" dxfId="3827" priority="472">
      <formula>B$9&lt;8/24</formula>
    </cfRule>
  </conditionalFormatting>
  <conditionalFormatting sqref="S8">
    <cfRule type="expression" dxfId="3826" priority="437">
      <formula>U$9&gt;=20/24</formula>
    </cfRule>
    <cfRule type="expression" dxfId="3825" priority="438">
      <formula>AND(U$9&gt;=14/24,U$9&lt;20/24)</formula>
    </cfRule>
    <cfRule type="expression" dxfId="3824" priority="439">
      <formula>AND(U$9&gt;=8/24,U$9&lt;14/24)</formula>
    </cfRule>
    <cfRule type="expression" dxfId="3823" priority="440">
      <formula>U$9&lt;8/24</formula>
    </cfRule>
  </conditionalFormatting>
  <conditionalFormatting sqref="AB8">
    <cfRule type="expression" dxfId="3822" priority="433">
      <formula>AD$9&gt;=20/24</formula>
    </cfRule>
    <cfRule type="expression" dxfId="3821" priority="434">
      <formula>AND(AD$9&gt;=14/24,AD$9&lt;20/24)</formula>
    </cfRule>
    <cfRule type="expression" dxfId="3820" priority="435">
      <formula>AND(AD$9&gt;=8/24,AD$9&lt;14/24)</formula>
    </cfRule>
    <cfRule type="expression" dxfId="3819" priority="436">
      <formula>AD$9&lt;8/24</formula>
    </cfRule>
  </conditionalFormatting>
  <conditionalFormatting sqref="AH245:AX245">
    <cfRule type="expression" dxfId="3818" priority="473">
      <formula>AG$9&gt;=20/24</formula>
    </cfRule>
    <cfRule type="expression" dxfId="3817" priority="474">
      <formula>AND(AG$9&gt;=14/24,AG$9&lt;20/24)</formula>
    </cfRule>
    <cfRule type="expression" dxfId="3816" priority="475">
      <formula>AND(AG$9&gt;=8/24,AG$9&lt;14/24)</formula>
    </cfRule>
    <cfRule type="expression" dxfId="3815" priority="476">
      <formula>AG$9&lt;8/24</formula>
    </cfRule>
  </conditionalFormatting>
  <conditionalFormatting sqref="T245">
    <cfRule type="expression" dxfId="3814" priority="477">
      <formula>AX$9&gt;=20/24</formula>
    </cfRule>
    <cfRule type="expression" dxfId="3813" priority="478">
      <formula>AND(AX$9&gt;=14/24,AX$9&lt;20/24)</formula>
    </cfRule>
    <cfRule type="expression" dxfId="3812" priority="479">
      <formula>AND(AX$9&gt;=8/24,AX$9&lt;14/24)</formula>
    </cfRule>
    <cfRule type="expression" dxfId="3811" priority="480">
      <formula>AX$9&lt;8/24</formula>
    </cfRule>
  </conditionalFormatting>
  <conditionalFormatting sqref="A115:A116">
    <cfRule type="expression" dxfId="3810" priority="432">
      <formula>$AH115=0</formula>
    </cfRule>
  </conditionalFormatting>
  <conditionalFormatting sqref="E71:AF71">
    <cfRule type="expression" dxfId="3809" priority="428">
      <formula>E$9&gt;=20/24</formula>
    </cfRule>
    <cfRule type="expression" dxfId="3808" priority="429">
      <formula>AND(E$9&gt;=14/24,E$9&lt;20/24)</formula>
    </cfRule>
    <cfRule type="expression" dxfId="3807" priority="430">
      <formula>AND(E$9&gt;=8/24,E$9&lt;14/24)</formula>
    </cfRule>
    <cfRule type="expression" dxfId="3806" priority="431">
      <formula>E$9&lt;8/24</formula>
    </cfRule>
  </conditionalFormatting>
  <conditionalFormatting sqref="D86:AF86 X96:AF96 AD100:AF106 E73:J73 Y47:AF47 F72:J72 K72:X73 M100:Y106 Y72:AF74 Z67:AF69">
    <cfRule type="expression" dxfId="3805" priority="419">
      <formula>D$9&gt;=20/24</formula>
    </cfRule>
    <cfRule type="expression" dxfId="3804" priority="420">
      <formula>AND(D$9&gt;=14/24,D$9&lt;20/24)</formula>
    </cfRule>
    <cfRule type="expression" dxfId="3803" priority="421">
      <formula>AND(D$9&gt;=8/24,D$9&lt;14/24)</formula>
    </cfRule>
    <cfRule type="expression" dxfId="3802" priority="422">
      <formula>D$9&lt;8/24</formula>
    </cfRule>
  </conditionalFormatting>
  <conditionalFormatting sqref="Y47:AF47 Z67:AF69">
    <cfRule type="expression" dxfId="3801" priority="418">
      <formula>Y47&gt;$AG47</formula>
    </cfRule>
  </conditionalFormatting>
  <conditionalFormatting sqref="Y53:Z56 S53:X55 Z57:Z58 AA53:AF58">
    <cfRule type="expression" dxfId="3800" priority="414">
      <formula>S$9&gt;=20/24</formula>
    </cfRule>
    <cfRule type="expression" dxfId="3799" priority="415">
      <formula>AND(S$9&gt;=14/24,S$9&lt;20/24)</formula>
    </cfRule>
    <cfRule type="expression" dxfId="3798" priority="416">
      <formula>AND(S$9&gt;=8/24,S$9&lt;14/24)</formula>
    </cfRule>
    <cfRule type="expression" dxfId="3797" priority="417">
      <formula>S$9&lt;8/24</formula>
    </cfRule>
  </conditionalFormatting>
  <conditionalFormatting sqref="Y53:Z56 S53:X55 Z57:Z58 AA53:AF58">
    <cfRule type="expression" dxfId="3796" priority="413">
      <formula>S53&gt;$AG53</formula>
    </cfRule>
  </conditionalFormatting>
  <conditionalFormatting sqref="C97:AF97 D88:AF88">
    <cfRule type="expression" dxfId="3795" priority="409">
      <formula>C$9&gt;=20/24</formula>
    </cfRule>
    <cfRule type="expression" dxfId="3794" priority="410">
      <formula>AND(C$9&gt;=14/24,C$9&lt;20/24)</formula>
    </cfRule>
    <cfRule type="expression" dxfId="3793" priority="411">
      <formula>AND(C$9&gt;=8/24,C$9&lt;14/24)</formula>
    </cfRule>
    <cfRule type="expression" dxfId="3792" priority="412">
      <formula>C$9&lt;8/24</formula>
    </cfRule>
  </conditionalFormatting>
  <conditionalFormatting sqref="T47:X47">
    <cfRule type="expression" dxfId="3791" priority="405">
      <formula>T$9&gt;=20/24</formula>
    </cfRule>
    <cfRule type="expression" dxfId="3790" priority="406">
      <formula>AND(T$9&gt;=14/24,T$9&lt;20/24)</formula>
    </cfRule>
    <cfRule type="expression" dxfId="3789" priority="407">
      <formula>AND(T$9&gt;=8/24,T$9&lt;14/24)</formula>
    </cfRule>
    <cfRule type="expression" dxfId="3788" priority="408">
      <formula>T$9&lt;8/24</formula>
    </cfRule>
  </conditionalFormatting>
  <conditionalFormatting sqref="T47:X47">
    <cfRule type="expression" dxfId="3787" priority="404">
      <formula>T47&gt;$AG47</formula>
    </cfRule>
  </conditionalFormatting>
  <conditionalFormatting sqref="E54:R55">
    <cfRule type="expression" dxfId="3786" priority="400">
      <formula>E$9&gt;=20/24</formula>
    </cfRule>
    <cfRule type="expression" dxfId="3785" priority="401">
      <formula>AND(E$9&gt;=14/24,E$9&lt;20/24)</formula>
    </cfRule>
    <cfRule type="expression" dxfId="3784" priority="402">
      <formula>AND(E$9&gt;=8/24,E$9&lt;14/24)</formula>
    </cfRule>
    <cfRule type="expression" dxfId="3783" priority="403">
      <formula>E$9&lt;8/24</formula>
    </cfRule>
  </conditionalFormatting>
  <conditionalFormatting sqref="E53:R53">
    <cfRule type="expression" dxfId="3782" priority="396">
      <formula>E$9&gt;=20/24</formula>
    </cfRule>
    <cfRule type="expression" dxfId="3781" priority="397">
      <formula>AND(E$9&gt;=14/24,E$9&lt;20/24)</formula>
    </cfRule>
    <cfRule type="expression" dxfId="3780" priority="398">
      <formula>AND(E$9&gt;=8/24,E$9&lt;14/24)</formula>
    </cfRule>
    <cfRule type="expression" dxfId="3779" priority="399">
      <formula>E$9&lt;8/24</formula>
    </cfRule>
  </conditionalFormatting>
  <conditionalFormatting sqref="E53:R55">
    <cfRule type="expression" dxfId="3778" priority="395">
      <formula>E53&gt;$AG53</formula>
    </cfRule>
  </conditionalFormatting>
  <conditionalFormatting sqref="AG70 AG87 E100:L106 Q67:Y69">
    <cfRule type="expression" dxfId="3777" priority="391">
      <formula>E$9&gt;=20/24</formula>
    </cfRule>
    <cfRule type="expression" dxfId="3776" priority="392">
      <formula>AND(E$9&gt;=14/24,E$9&lt;20/24)</formula>
    </cfRule>
    <cfRule type="expression" dxfId="3775" priority="393">
      <formula>AND(E$9&gt;=8/24,E$9&lt;14/24)</formula>
    </cfRule>
    <cfRule type="expression" dxfId="3774" priority="394">
      <formula>E$9&lt;8/24</formula>
    </cfRule>
  </conditionalFormatting>
  <conditionalFormatting sqref="AG48 AG66 AG70 Q67:Y69">
    <cfRule type="expression" dxfId="3773" priority="390">
      <formula>Q48&gt;$AG48</formula>
    </cfRule>
  </conditionalFormatting>
  <conditionalFormatting sqref="A43">
    <cfRule type="expression" dxfId="3772" priority="384">
      <formula>$AH43=0</formula>
    </cfRule>
  </conditionalFormatting>
  <conditionalFormatting sqref="X91:AF95">
    <cfRule type="expression" dxfId="3771" priority="380">
      <formula>X$9&gt;=20/24</formula>
    </cfRule>
    <cfRule type="expression" dxfId="3770" priority="381">
      <formula>AND(X$9&gt;=14/24,X$9&lt;20/24)</formula>
    </cfRule>
    <cfRule type="expression" dxfId="3769" priority="382">
      <formula>AND(X$9&gt;=8/24,X$9&lt;14/24)</formula>
    </cfRule>
    <cfRule type="expression" dxfId="3768" priority="383">
      <formula>X$9&lt;8/24</formula>
    </cfRule>
  </conditionalFormatting>
  <conditionalFormatting sqref="AL45 AL41 AL22:AL32 AL38:AL39 AL7:AL15 AL17:AL20 AL34:AL36">
    <cfRule type="iconSet" priority="481">
      <iconSet iconSet="3TrafficLights2" reverse="1">
        <cfvo type="percent" val="0"/>
        <cfvo type="num" val="1"/>
        <cfvo type="num" val="1"/>
      </iconSet>
    </cfRule>
  </conditionalFormatting>
  <conditionalFormatting sqref="F49:H49 I49:AF51">
    <cfRule type="expression" dxfId="3767" priority="376">
      <formula>F$9&gt;=20/24</formula>
    </cfRule>
    <cfRule type="expression" dxfId="3766" priority="377">
      <formula>AND(F$9&gt;=14/24,F$9&lt;20/24)</formula>
    </cfRule>
    <cfRule type="expression" dxfId="3765" priority="378">
      <formula>AND(F$9&gt;=8/24,F$9&lt;14/24)</formula>
    </cfRule>
    <cfRule type="expression" dxfId="3764" priority="379">
      <formula>F$9&lt;8/24</formula>
    </cfRule>
  </conditionalFormatting>
  <conditionalFormatting sqref="F49:H49 I49:AF51">
    <cfRule type="expression" dxfId="3763" priority="375">
      <formula>F49&gt;$AG49</formula>
    </cfRule>
  </conditionalFormatting>
  <conditionalFormatting sqref="AG52">
    <cfRule type="expression" dxfId="3762" priority="371">
      <formula>AG$9&gt;=20/24</formula>
    </cfRule>
    <cfRule type="expression" dxfId="3761" priority="372">
      <formula>AND(AG$9&gt;=14/24,AG$9&lt;20/24)</formula>
    </cfRule>
    <cfRule type="expression" dxfId="3760" priority="373">
      <formula>AND(AG$9&gt;=8/24,AG$9&lt;14/24)</formula>
    </cfRule>
    <cfRule type="expression" dxfId="3759" priority="374">
      <formula>AG$9&lt;8/24</formula>
    </cfRule>
  </conditionalFormatting>
  <conditionalFormatting sqref="AG52">
    <cfRule type="expression" dxfId="3758" priority="370">
      <formula>AG52&gt;$AG52</formula>
    </cfRule>
  </conditionalFormatting>
  <conditionalFormatting sqref="C107:AF107">
    <cfRule type="expression" dxfId="3757" priority="366">
      <formula>C$9&gt;=20/24</formula>
    </cfRule>
    <cfRule type="expression" dxfId="3756" priority="367">
      <formula>AND(C$9&gt;=14/24,C$9&lt;20/24)</formula>
    </cfRule>
    <cfRule type="expression" dxfId="3755" priority="368">
      <formula>AND(C$9&gt;=8/24,C$9&lt;14/24)</formula>
    </cfRule>
    <cfRule type="expression" dxfId="3754" priority="369">
      <formula>C$9&lt;8/24</formula>
    </cfRule>
  </conditionalFormatting>
  <conditionalFormatting sqref="AL40">
    <cfRule type="iconSet" priority="365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3753" priority="364">
      <formula>$AH40=0</formula>
    </cfRule>
  </conditionalFormatting>
  <conditionalFormatting sqref="A90">
    <cfRule type="expression" dxfId="3752" priority="362">
      <formula>$AH90=0</formula>
    </cfRule>
  </conditionalFormatting>
  <conditionalFormatting sqref="A87">
    <cfRule type="expression" dxfId="3751" priority="363">
      <formula>$AH87=0</formula>
    </cfRule>
  </conditionalFormatting>
  <conditionalFormatting sqref="D110:AF110">
    <cfRule type="expression" dxfId="3750" priority="358">
      <formula>D$9&gt;=20/24</formula>
    </cfRule>
    <cfRule type="expression" dxfId="3749" priority="359">
      <formula>AND(D$9&gt;=14/24,D$9&lt;20/24)</formula>
    </cfRule>
    <cfRule type="expression" dxfId="3748" priority="360">
      <formula>AND(D$9&gt;=8/24,D$9&lt;14/24)</formula>
    </cfRule>
    <cfRule type="expression" dxfId="3747" priority="361">
      <formula>D$9&lt;8/24</formula>
    </cfRule>
  </conditionalFormatting>
  <conditionalFormatting sqref="A110">
    <cfRule type="expression" dxfId="3746" priority="357">
      <formula>$AH110=0</formula>
    </cfRule>
  </conditionalFormatting>
  <conditionalFormatting sqref="A21">
    <cfRule type="expression" dxfId="3745" priority="355">
      <formula>$AH21=0</formula>
    </cfRule>
  </conditionalFormatting>
  <conditionalFormatting sqref="AL21">
    <cfRule type="iconSet" priority="356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744" priority="353">
      <formula>$AH37=0</formula>
    </cfRule>
  </conditionalFormatting>
  <conditionalFormatting sqref="AL37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3743" priority="349">
      <formula>Y$9&gt;=20/24</formula>
    </cfRule>
    <cfRule type="expression" dxfId="3742" priority="350">
      <formula>AND(Y$9&gt;=14/24,Y$9&lt;20/24)</formula>
    </cfRule>
    <cfRule type="expression" dxfId="3741" priority="351">
      <formula>AND(Y$9&gt;=8/24,Y$9&lt;14/24)</formula>
    </cfRule>
    <cfRule type="expression" dxfId="3740" priority="352">
      <formula>Y$9&lt;8/24</formula>
    </cfRule>
  </conditionalFormatting>
  <conditionalFormatting sqref="Z100:AC106">
    <cfRule type="expression" dxfId="3739" priority="345">
      <formula>Z$9&gt;=20/24</formula>
    </cfRule>
    <cfRule type="expression" dxfId="3738" priority="346">
      <formula>AND(Z$9&gt;=14/24,Z$9&lt;20/24)</formula>
    </cfRule>
    <cfRule type="expression" dxfId="3737" priority="347">
      <formula>AND(Z$9&gt;=8/24,Z$9&lt;14/24)</formula>
    </cfRule>
    <cfRule type="expression" dxfId="3736" priority="348">
      <formula>Z$9&lt;8/24</formula>
    </cfRule>
  </conditionalFormatting>
  <conditionalFormatting sqref="C109 C111:C116 Z34:AF43 Z17:AF32">
    <cfRule type="expression" dxfId="3735" priority="341">
      <formula>C$9&gt;=20/24</formula>
    </cfRule>
    <cfRule type="expression" dxfId="3734" priority="342">
      <formula>AND(C$9&gt;=14/24,C$9&lt;20/24)</formula>
    </cfRule>
    <cfRule type="expression" dxfId="3733" priority="343">
      <formula>AND(C$9&gt;=8/24,C$9&lt;14/24)</formula>
    </cfRule>
    <cfRule type="expression" dxfId="3732" priority="344">
      <formula>C$9&lt;8/24</formula>
    </cfRule>
  </conditionalFormatting>
  <conditionalFormatting sqref="C47:S47">
    <cfRule type="expression" dxfId="3731" priority="337">
      <formula>C$9&gt;=20/24</formula>
    </cfRule>
    <cfRule type="expression" dxfId="3730" priority="338">
      <formula>AND(C$9&gt;=14/24,C$9&lt;20/24)</formula>
    </cfRule>
    <cfRule type="expression" dxfId="3729" priority="339">
      <formula>AND(C$9&gt;=8/24,C$9&lt;14/24)</formula>
    </cfRule>
    <cfRule type="expression" dxfId="3728" priority="340">
      <formula>C$9&lt;8/24</formula>
    </cfRule>
  </conditionalFormatting>
  <conditionalFormatting sqref="C47:S47 Z34:AF43 Z17:AF32">
    <cfRule type="expression" dxfId="3727" priority="336">
      <formula>C17&gt;$AG17</formula>
    </cfRule>
  </conditionalFormatting>
  <conditionalFormatting sqref="C99:D99">
    <cfRule type="expression" dxfId="3726" priority="332">
      <formula>C$9&gt;=20/24</formula>
    </cfRule>
    <cfRule type="expression" dxfId="3725" priority="333">
      <formula>AND(C$9&gt;=14/24,C$9&lt;20/24)</formula>
    </cfRule>
    <cfRule type="expression" dxfId="3724" priority="334">
      <formula>AND(C$9&gt;=8/24,C$9&lt;14/24)</formula>
    </cfRule>
    <cfRule type="expression" dxfId="3723" priority="335">
      <formula>C$9&lt;8/24</formula>
    </cfRule>
  </conditionalFormatting>
  <conditionalFormatting sqref="C86 C96:W96 C83:AF85 H67:P69 E74:T75 M76:T76 U74:X74 U75:AF76">
    <cfRule type="expression" dxfId="3722" priority="328">
      <formula>C$9&gt;=20/24</formula>
    </cfRule>
    <cfRule type="expression" dxfId="3721" priority="329">
      <formula>AND(C$9&gt;=14/24,C$9&lt;20/24)</formula>
    </cfRule>
    <cfRule type="expression" dxfId="3720" priority="330">
      <formula>AND(C$9&gt;=8/24,C$9&lt;14/24)</formula>
    </cfRule>
    <cfRule type="expression" dxfId="3719" priority="331">
      <formula>C$9&lt;8/24</formula>
    </cfRule>
  </conditionalFormatting>
  <conditionalFormatting sqref="H67:P69 H56:R57">
    <cfRule type="expression" dxfId="3718" priority="327">
      <formula>H56&gt;$AG56</formula>
    </cfRule>
  </conditionalFormatting>
  <conditionalFormatting sqref="H58:Y58">
    <cfRule type="expression" dxfId="3717" priority="323">
      <formula>H$9&gt;=20/24</formula>
    </cfRule>
    <cfRule type="expression" dxfId="3716" priority="324">
      <formula>AND(H$9&gt;=14/24,H$9&lt;20/24)</formula>
    </cfRule>
    <cfRule type="expression" dxfId="3715" priority="325">
      <formula>AND(H$9&gt;=8/24,H$9&lt;14/24)</formula>
    </cfRule>
    <cfRule type="expression" dxfId="3714" priority="326">
      <formula>H$9&lt;8/24</formula>
    </cfRule>
  </conditionalFormatting>
  <conditionalFormatting sqref="H58:Y58">
    <cfRule type="expression" dxfId="3713" priority="322">
      <formula>H58&gt;$AG58</formula>
    </cfRule>
  </conditionalFormatting>
  <conditionalFormatting sqref="C54:D57 C71:D71 E56:G57">
    <cfRule type="expression" dxfId="3712" priority="251">
      <formula>C$9&gt;=20/24</formula>
    </cfRule>
    <cfRule type="expression" dxfId="3711" priority="252">
      <formula>AND(C$9&gt;=14/24,C$9&lt;20/24)</formula>
    </cfRule>
    <cfRule type="expression" dxfId="3710" priority="253">
      <formula>AND(C$9&gt;=8/24,C$9&lt;14/24)</formula>
    </cfRule>
    <cfRule type="expression" dxfId="3709" priority="254">
      <formula>C$9&lt;8/24</formula>
    </cfRule>
  </conditionalFormatting>
  <conditionalFormatting sqref="M70:AF70 C87:AF87 C98:AF98 C89:AF89">
    <cfRule type="expression" dxfId="3708" priority="318">
      <formula>C$9&gt;=20/24</formula>
    </cfRule>
    <cfRule type="expression" dxfId="3707" priority="319">
      <formula>AND(C$9&gt;=14/24,C$9&lt;20/24)</formula>
    </cfRule>
    <cfRule type="expression" dxfId="3706" priority="320">
      <formula>AND(C$9&gt;=8/24,C$9&lt;14/24)</formula>
    </cfRule>
    <cfRule type="expression" dxfId="3705" priority="321">
      <formula>C$9&lt;8/24</formula>
    </cfRule>
  </conditionalFormatting>
  <conditionalFormatting sqref="C65:AF66 M70:AF70">
    <cfRule type="expression" dxfId="3704" priority="317">
      <formula>C65&gt;$AG65</formula>
    </cfRule>
  </conditionalFormatting>
  <conditionalFormatting sqref="C82:AF82">
    <cfRule type="expression" dxfId="3703" priority="313">
      <formula>C$9&gt;=20/24</formula>
    </cfRule>
    <cfRule type="expression" dxfId="3702" priority="314">
      <formula>AND(C$9&gt;=14/24,C$9&lt;20/24)</formula>
    </cfRule>
    <cfRule type="expression" dxfId="3701" priority="315">
      <formula>AND(C$9&gt;=8/24,C$9&lt;14/24)</formula>
    </cfRule>
    <cfRule type="expression" dxfId="3700" priority="316">
      <formula>C$9&lt;8/24</formula>
    </cfRule>
  </conditionalFormatting>
  <conditionalFormatting sqref="C91:W95">
    <cfRule type="expression" dxfId="3699" priority="309">
      <formula>C$9&gt;=20/24</formula>
    </cfRule>
    <cfRule type="expression" dxfId="3698" priority="310">
      <formula>AND(C$9&gt;=14/24,C$9&lt;20/24)</formula>
    </cfRule>
    <cfRule type="expression" dxfId="3697" priority="311">
      <formula>AND(C$9&gt;=8/24,C$9&lt;14/24)</formula>
    </cfRule>
    <cfRule type="expression" dxfId="3696" priority="312">
      <formula>C$9&lt;8/24</formula>
    </cfRule>
  </conditionalFormatting>
  <conditionalFormatting sqref="C52:AF52">
    <cfRule type="expression" dxfId="3695" priority="305">
      <formula>C$9&gt;=20/24</formula>
    </cfRule>
    <cfRule type="expression" dxfId="3694" priority="306">
      <formula>AND(C$9&gt;=14/24,C$9&lt;20/24)</formula>
    </cfRule>
    <cfRule type="expression" dxfId="3693" priority="307">
      <formula>AND(C$9&gt;=8/24,C$9&lt;14/24)</formula>
    </cfRule>
    <cfRule type="expression" dxfId="3692" priority="308">
      <formula>C$9&lt;8/24</formula>
    </cfRule>
  </conditionalFormatting>
  <conditionalFormatting sqref="C52:AF52">
    <cfRule type="expression" dxfId="3691" priority="304">
      <formula>C52&gt;$AG52</formula>
    </cfRule>
  </conditionalFormatting>
  <conditionalFormatting sqref="C49:E51 F50:H51">
    <cfRule type="expression" dxfId="3690" priority="219">
      <formula>C$9&gt;=20/24</formula>
    </cfRule>
    <cfRule type="expression" dxfId="3689" priority="220">
      <formula>AND(C$9&gt;=14/24,C$9&lt;20/24)</formula>
    </cfRule>
    <cfRule type="expression" dxfId="3688" priority="221">
      <formula>AND(C$9&gt;=8/24,C$9&lt;14/24)</formula>
    </cfRule>
    <cfRule type="expression" dxfId="3687" priority="222">
      <formula>C$9&lt;8/24</formula>
    </cfRule>
  </conditionalFormatting>
  <conditionalFormatting sqref="C110">
    <cfRule type="expression" dxfId="3686" priority="296">
      <formula>C$9&gt;=20/24</formula>
    </cfRule>
    <cfRule type="expression" dxfId="3685" priority="297">
      <formula>AND(C$9&gt;=14/24,C$9&lt;20/24)</formula>
    </cfRule>
    <cfRule type="expression" dxfId="3684" priority="298">
      <formula>AND(C$9&gt;=8/24,C$9&lt;14/24)</formula>
    </cfRule>
    <cfRule type="expression" dxfId="3683" priority="299">
      <formula>C$9&lt;8/24</formula>
    </cfRule>
  </conditionalFormatting>
  <conditionalFormatting sqref="Z59:AF64">
    <cfRule type="expression" dxfId="3682" priority="292">
      <formula>Z$9&gt;=20/24</formula>
    </cfRule>
    <cfRule type="expression" dxfId="3681" priority="293">
      <formula>AND(Z$9&gt;=14/24,Z$9&lt;20/24)</formula>
    </cfRule>
    <cfRule type="expression" dxfId="3680" priority="294">
      <formula>AND(Z$9&gt;=8/24,Z$9&lt;14/24)</formula>
    </cfRule>
    <cfRule type="expression" dxfId="3679" priority="295">
      <formula>Z$9&lt;8/24</formula>
    </cfRule>
  </conditionalFormatting>
  <conditionalFormatting sqref="Z59:AF64">
    <cfRule type="expression" dxfId="3678" priority="291">
      <formula>Z59&gt;$AG59</formula>
    </cfRule>
  </conditionalFormatting>
  <conditionalFormatting sqref="Z45:AF45 V13:AF15">
    <cfRule type="expression" dxfId="3677" priority="290">
      <formula>V13&gt;$AG13</formula>
    </cfRule>
  </conditionalFormatting>
  <conditionalFormatting sqref="E12:AF12">
    <cfRule type="expression" dxfId="3676" priority="286">
      <formula>E$9&gt;=20/24</formula>
    </cfRule>
    <cfRule type="expression" dxfId="3675" priority="287">
      <formula>AND(E$9&gt;=14/24,E$9&lt;20/24)</formula>
    </cfRule>
    <cfRule type="expression" dxfId="3674" priority="288">
      <formula>AND(E$9&gt;=8/24,E$9&lt;14/24)</formula>
    </cfRule>
    <cfRule type="expression" dxfId="3673" priority="289">
      <formula>E$9&lt;8/24</formula>
    </cfRule>
  </conditionalFormatting>
  <conditionalFormatting sqref="E12:AF12">
    <cfRule type="expression" dxfId="3672" priority="285">
      <formula>E12&gt;$AG12</formula>
    </cfRule>
  </conditionalFormatting>
  <conditionalFormatting sqref="V13:AF15">
    <cfRule type="expression" dxfId="3671" priority="281">
      <formula>V$9&gt;=20/24</formula>
    </cfRule>
    <cfRule type="expression" dxfId="3670" priority="282">
      <formula>AND(V$9&gt;=14/24,V$9&lt;20/24)</formula>
    </cfRule>
    <cfRule type="expression" dxfId="3669" priority="283">
      <formula>AND(V$9&gt;=8/24,V$9&lt;14/24)</formula>
    </cfRule>
    <cfRule type="expression" dxfId="3668" priority="284">
      <formula>V$9&lt;8/24</formula>
    </cfRule>
  </conditionalFormatting>
  <conditionalFormatting sqref="Z45:AF45">
    <cfRule type="expression" dxfId="3667" priority="277">
      <formula>Z$9&gt;=20/24</formula>
    </cfRule>
    <cfRule type="expression" dxfId="3666" priority="278">
      <formula>AND(Z$9&gt;=14/24,Z$9&lt;20/24)</formula>
    </cfRule>
    <cfRule type="expression" dxfId="3665" priority="279">
      <formula>AND(Z$9&gt;=8/24,Z$9&lt;14/24)</formula>
    </cfRule>
    <cfRule type="expression" dxfId="3664" priority="280">
      <formula>Z$9&lt;8/24</formula>
    </cfRule>
  </conditionalFormatting>
  <conditionalFormatting sqref="M77:AF81">
    <cfRule type="expression" dxfId="3663" priority="273">
      <formula>M$9&gt;=20/24</formula>
    </cfRule>
    <cfRule type="expression" dxfId="3662" priority="274">
      <formula>AND(M$9&gt;=14/24,M$9&lt;20/24)</formula>
    </cfRule>
    <cfRule type="expression" dxfId="3661" priority="275">
      <formula>AND(M$9&gt;=8/24,M$9&lt;14/24)</formula>
    </cfRule>
    <cfRule type="expression" dxfId="3660" priority="276">
      <formula>M$9&lt;8/24</formula>
    </cfRule>
  </conditionalFormatting>
  <conditionalFormatting sqref="AL78:AN78 AL84:AN84 AN79:AN80">
    <cfRule type="expression" dxfId="3659" priority="269">
      <formula>AL$9&gt;=20/24</formula>
    </cfRule>
    <cfRule type="expression" dxfId="3658" priority="270">
      <formula>AND(AL$9&gt;=14/24,AL$9&lt;20/24)</formula>
    </cfRule>
    <cfRule type="expression" dxfId="3657" priority="271">
      <formula>AND(AL$9&gt;=8/24,AL$9&lt;14/24)</formula>
    </cfRule>
    <cfRule type="expression" dxfId="3656" priority="272">
      <formula>AL$9&lt;8/24</formula>
    </cfRule>
  </conditionalFormatting>
  <conditionalFormatting sqref="AN81:AN82">
    <cfRule type="expression" dxfId="3655" priority="265">
      <formula>AN$9&gt;=20/24</formula>
    </cfRule>
    <cfRule type="expression" dxfId="3654" priority="266">
      <formula>AND(AN$9&gt;=14/24,AN$9&lt;20/24)</formula>
    </cfRule>
    <cfRule type="expression" dxfId="3653" priority="267">
      <formula>AND(AN$9&gt;=8/24,AN$9&lt;14/24)</formula>
    </cfRule>
    <cfRule type="expression" dxfId="3652" priority="268">
      <formula>AN$9&lt;8/24</formula>
    </cfRule>
  </conditionalFormatting>
  <conditionalFormatting sqref="AL79:AM83">
    <cfRule type="expression" dxfId="3651" priority="482">
      <formula>AJ$9&gt;=20/24</formula>
    </cfRule>
    <cfRule type="expression" dxfId="3650" priority="483">
      <formula>AND(AJ$9&gt;=14/24,AJ$9&lt;20/24)</formula>
    </cfRule>
    <cfRule type="expression" dxfId="3649" priority="484">
      <formula>AND(AJ$9&gt;=8/24,AJ$9&lt;14/24)</formula>
    </cfRule>
    <cfRule type="expression" dxfId="3648" priority="485">
      <formula>AJ$9&lt;8/24</formula>
    </cfRule>
  </conditionalFormatting>
  <conditionalFormatting sqref="A117">
    <cfRule type="expression" dxfId="3647" priority="264">
      <formula>$AH117=0</formula>
    </cfRule>
  </conditionalFormatting>
  <conditionalFormatting sqref="E13:U13">
    <cfRule type="expression" dxfId="3646" priority="260">
      <formula>E$9&gt;=20/24</formula>
    </cfRule>
    <cfRule type="expression" dxfId="3645" priority="261">
      <formula>AND(E$9&gt;=14/24,E$9&lt;20/24)</formula>
    </cfRule>
    <cfRule type="expression" dxfId="3644" priority="262">
      <formula>AND(E$9&gt;=8/24,E$9&lt;14/24)</formula>
    </cfRule>
    <cfRule type="expression" dxfId="3643" priority="263">
      <formula>E$9&lt;8/24</formula>
    </cfRule>
  </conditionalFormatting>
  <conditionalFormatting sqref="E13:U13">
    <cfRule type="expression" dxfId="3642" priority="259">
      <formula>E13&gt;$AG13</formula>
    </cfRule>
  </conditionalFormatting>
  <conditionalFormatting sqref="C53:D53">
    <cfRule type="expression" dxfId="3641" priority="247">
      <formula>C$9&gt;=20/24</formula>
    </cfRule>
    <cfRule type="expression" dxfId="3640" priority="248">
      <formula>AND(C$9&gt;=14/24,C$9&lt;20/24)</formula>
    </cfRule>
    <cfRule type="expression" dxfId="3639" priority="249">
      <formula>AND(C$9&gt;=8/24,C$9&lt;14/24)</formula>
    </cfRule>
    <cfRule type="expression" dxfId="3638" priority="250">
      <formula>C$9&lt;8/24</formula>
    </cfRule>
  </conditionalFormatting>
  <conditionalFormatting sqref="C53:D57 E56:G57">
    <cfRule type="expression" dxfId="3637" priority="246">
      <formula>C53&gt;$AG53</formula>
    </cfRule>
  </conditionalFormatting>
  <conditionalFormatting sqref="C72:D74 C100:D106 E72 C67:G69">
    <cfRule type="expression" dxfId="3636" priority="242">
      <formula>C$9&gt;=20/24</formula>
    </cfRule>
    <cfRule type="expression" dxfId="3635" priority="243">
      <formula>AND(C$9&gt;=14/24,C$9&lt;20/24)</formula>
    </cfRule>
    <cfRule type="expression" dxfId="3634" priority="244">
      <formula>AND(C$9&gt;=8/24,C$9&lt;14/24)</formula>
    </cfRule>
    <cfRule type="expression" dxfId="3633" priority="245">
      <formula>C$9&lt;8/24</formula>
    </cfRule>
  </conditionalFormatting>
  <conditionalFormatting sqref="C67:G69">
    <cfRule type="expression" dxfId="3632" priority="241">
      <formula>C67&gt;$AG67</formula>
    </cfRule>
  </conditionalFormatting>
  <conditionalFormatting sqref="C88">
    <cfRule type="expression" dxfId="3631" priority="237">
      <formula>C$9&gt;=20/24</formula>
    </cfRule>
    <cfRule type="expression" dxfId="3630" priority="238">
      <formula>AND(C$9&gt;=14/24,C$9&lt;20/24)</formula>
    </cfRule>
    <cfRule type="expression" dxfId="3629" priority="239">
      <formula>AND(C$9&gt;=8/24,C$9&lt;14/24)</formula>
    </cfRule>
    <cfRule type="expression" dxfId="3628" priority="240">
      <formula>C$9&lt;8/24</formula>
    </cfRule>
  </conditionalFormatting>
  <conditionalFormatting sqref="Z46:AF46">
    <cfRule type="expression" dxfId="3627" priority="233">
      <formula>Z$9&gt;=20/24</formula>
    </cfRule>
    <cfRule type="expression" dxfId="3626" priority="234">
      <formula>AND(Z$9&gt;=14/24,Z$9&lt;20/24)</formula>
    </cfRule>
    <cfRule type="expression" dxfId="3625" priority="235">
      <formula>AND(Z$9&gt;=8/24,Z$9&lt;14/24)</formula>
    </cfRule>
    <cfRule type="expression" dxfId="3624" priority="236">
      <formula>Z$9&lt;8/24</formula>
    </cfRule>
  </conditionalFormatting>
  <conditionalFormatting sqref="Z46:AF46">
    <cfRule type="expression" dxfId="3623" priority="232">
      <formula>Z46&gt;$AG46</formula>
    </cfRule>
  </conditionalFormatting>
  <conditionalFormatting sqref="C58:G58">
    <cfRule type="expression" dxfId="3622" priority="228">
      <formula>C$9&gt;=20/24</formula>
    </cfRule>
    <cfRule type="expression" dxfId="3621" priority="229">
      <formula>AND(C$9&gt;=14/24,C$9&lt;20/24)</formula>
    </cfRule>
    <cfRule type="expression" dxfId="3620" priority="230">
      <formula>AND(C$9&gt;=8/24,C$9&lt;14/24)</formula>
    </cfRule>
    <cfRule type="expression" dxfId="3619" priority="231">
      <formula>C$9&lt;8/24</formula>
    </cfRule>
  </conditionalFormatting>
  <conditionalFormatting sqref="C58:G58">
    <cfRule type="expression" dxfId="3618" priority="227">
      <formula>C58&gt;$AG58</formula>
    </cfRule>
  </conditionalFormatting>
  <conditionalFormatting sqref="C49:E51 F50:H51">
    <cfRule type="expression" dxfId="3617" priority="218">
      <formula>C49&gt;$AG49</formula>
    </cfRule>
  </conditionalFormatting>
  <conditionalFormatting sqref="C75:D76 E76:L76">
    <cfRule type="expression" dxfId="3616" priority="206">
      <formula>C$9&gt;=20/24</formula>
    </cfRule>
    <cfRule type="expression" dxfId="3615" priority="207">
      <formula>AND(C$9&gt;=14/24,C$9&lt;20/24)</formula>
    </cfRule>
    <cfRule type="expression" dxfId="3614" priority="208">
      <formula>AND(C$9&gt;=8/24,C$9&lt;14/24)</formula>
    </cfRule>
    <cfRule type="expression" dxfId="3613" priority="209">
      <formula>C$9&lt;8/24</formula>
    </cfRule>
  </conditionalFormatting>
  <conditionalFormatting sqref="C48:AF48">
    <cfRule type="expression" dxfId="3612" priority="201">
      <formula>C48&gt;$AG48</formula>
    </cfRule>
  </conditionalFormatting>
  <conditionalFormatting sqref="C59:Y64">
    <cfRule type="expression" dxfId="3611" priority="184">
      <formula>C$9&gt;=20/24</formula>
    </cfRule>
    <cfRule type="expression" dxfId="3610" priority="185">
      <formula>AND(C$9&gt;=14/24,C$9&lt;20/24)</formula>
    </cfRule>
    <cfRule type="expression" dxfId="3609" priority="186">
      <formula>AND(C$9&gt;=8/24,C$9&lt;14/24)</formula>
    </cfRule>
    <cfRule type="expression" dxfId="3608" priority="187">
      <formula>C$9&lt;8/24</formula>
    </cfRule>
  </conditionalFormatting>
  <conditionalFormatting sqref="C59:Y64">
    <cfRule type="expression" dxfId="3607" priority="183">
      <formula>C59&gt;$AG59</formula>
    </cfRule>
  </conditionalFormatting>
  <conditionalFormatting sqref="C77:L81">
    <cfRule type="expression" dxfId="3606" priority="179">
      <formula>C$9&gt;=20/24</formula>
    </cfRule>
    <cfRule type="expression" dxfId="3605" priority="180">
      <formula>AND(C$9&gt;=14/24,C$9&lt;20/24)</formula>
    </cfRule>
    <cfRule type="expression" dxfId="3604" priority="181">
      <formula>AND(C$9&gt;=8/24,C$9&lt;14/24)</formula>
    </cfRule>
    <cfRule type="expression" dxfId="3603" priority="182">
      <formula>C$9&lt;8/24</formula>
    </cfRule>
  </conditionalFormatting>
  <conditionalFormatting sqref="A11">
    <cfRule type="expression" dxfId="3602" priority="178">
      <formula>$AH11=0</formula>
    </cfRule>
  </conditionalFormatting>
  <conditionalFormatting sqref="U11:AF11">
    <cfRule type="expression" dxfId="3601" priority="174">
      <formula>U$9&gt;=20/24</formula>
    </cfRule>
    <cfRule type="expression" dxfId="3600" priority="175">
      <formula>AND(U$9&gt;=14/24,U$9&lt;20/24)</formula>
    </cfRule>
    <cfRule type="expression" dxfId="3599" priority="176">
      <formula>AND(U$9&gt;=8/24,U$9&lt;14/24)</formula>
    </cfRule>
    <cfRule type="expression" dxfId="3598" priority="177">
      <formula>U$9&lt;8/24</formula>
    </cfRule>
  </conditionalFormatting>
  <conditionalFormatting sqref="U11:AF11">
    <cfRule type="expression" dxfId="3597" priority="173">
      <formula>U11&gt;$AG11</formula>
    </cfRule>
  </conditionalFormatting>
  <conditionalFormatting sqref="A16">
    <cfRule type="expression" dxfId="3596" priority="166">
      <formula>$AH16=0</formula>
    </cfRule>
  </conditionalFormatting>
  <conditionalFormatting sqref="AL16">
    <cfRule type="iconSet" priority="167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3595" priority="162">
      <formula>Z$9&gt;=20/24</formula>
    </cfRule>
    <cfRule type="expression" dxfId="3594" priority="163">
      <formula>AND(Z$9&gt;=14/24,Z$9&lt;20/24)</formula>
    </cfRule>
    <cfRule type="expression" dxfId="3593" priority="164">
      <formula>AND(Z$9&gt;=8/24,Z$9&lt;14/24)</formula>
    </cfRule>
    <cfRule type="expression" dxfId="3592" priority="165">
      <formula>Z$9&lt;8/24</formula>
    </cfRule>
  </conditionalFormatting>
  <conditionalFormatting sqref="Z16:AF16">
    <cfRule type="expression" dxfId="3591" priority="161">
      <formula>Z16&gt;$AG16</formula>
    </cfRule>
  </conditionalFormatting>
  <conditionalFormatting sqref="A33">
    <cfRule type="expression" dxfId="3590" priority="154">
      <formula>$AH33=0</formula>
    </cfRule>
  </conditionalFormatting>
  <conditionalFormatting sqref="AL33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3589" priority="150">
      <formula>Z$9&gt;=20/24</formula>
    </cfRule>
    <cfRule type="expression" dxfId="3588" priority="151">
      <formula>AND(Z$9&gt;=14/24,Z$9&lt;20/24)</formula>
    </cfRule>
    <cfRule type="expression" dxfId="3587" priority="152">
      <formula>AND(Z$9&gt;=8/24,Z$9&lt;14/24)</formula>
    </cfRule>
    <cfRule type="expression" dxfId="3586" priority="153">
      <formula>Z$9&lt;8/24</formula>
    </cfRule>
  </conditionalFormatting>
  <conditionalFormatting sqref="Z33:AF33">
    <cfRule type="expression" dxfId="3585" priority="149">
      <formula>Z33&gt;$AG33</formula>
    </cfRule>
  </conditionalFormatting>
  <conditionalFormatting sqref="A44">
    <cfRule type="expression" dxfId="3584" priority="142">
      <formula>$AH44=0</formula>
    </cfRule>
  </conditionalFormatting>
  <conditionalFormatting sqref="AL44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3583" priority="141">
      <formula>Z44&gt;$AG44</formula>
    </cfRule>
  </conditionalFormatting>
  <conditionalFormatting sqref="Z44:AF44">
    <cfRule type="expression" dxfId="3582" priority="137">
      <formula>Z$9&gt;=20/24</formula>
    </cfRule>
    <cfRule type="expression" dxfId="3581" priority="138">
      <formula>AND(Z$9&gt;=14/24,Z$9&lt;20/24)</formula>
    </cfRule>
    <cfRule type="expression" dxfId="3580" priority="139">
      <formula>AND(Z$9&gt;=8/24,Z$9&lt;14/24)</formula>
    </cfRule>
    <cfRule type="expression" dxfId="3579" priority="140">
      <formula>Z$9&lt;8/24</formula>
    </cfRule>
  </conditionalFormatting>
  <conditionalFormatting sqref="D117:AF117">
    <cfRule type="expression" dxfId="3578" priority="128">
      <formula>D$9&gt;=20/24</formula>
    </cfRule>
    <cfRule type="expression" dxfId="3577" priority="129">
      <formula>AND(D$9&gt;=14/24,D$9&lt;20/24)</formula>
    </cfRule>
    <cfRule type="expression" dxfId="3576" priority="130">
      <formula>AND(D$9&gt;=8/24,D$9&lt;14/24)</formula>
    </cfRule>
    <cfRule type="expression" dxfId="3575" priority="131">
      <formula>D$9&lt;8/24</formula>
    </cfRule>
  </conditionalFormatting>
  <conditionalFormatting sqref="C117">
    <cfRule type="expression" dxfId="3574" priority="124">
      <formula>C$9&gt;=20/24</formula>
    </cfRule>
    <cfRule type="expression" dxfId="3573" priority="125">
      <formula>AND(C$9&gt;=14/24,C$9&lt;20/24)</formula>
    </cfRule>
    <cfRule type="expression" dxfId="3572" priority="126">
      <formula>AND(C$9&gt;=8/24,C$9&lt;14/24)</formula>
    </cfRule>
    <cfRule type="expression" dxfId="3571" priority="127">
      <formula>C$9&lt;8/24</formula>
    </cfRule>
  </conditionalFormatting>
  <conditionalFormatting sqref="B109 B111:B116">
    <cfRule type="expression" dxfId="3570" priority="116">
      <formula>B$9&gt;=20/24</formula>
    </cfRule>
    <cfRule type="expression" dxfId="3569" priority="117">
      <formula>AND(B$9&gt;=14/24,B$9&lt;20/24)</formula>
    </cfRule>
    <cfRule type="expression" dxfId="3568" priority="118">
      <formula>AND(B$9&gt;=8/24,B$9&lt;14/24)</formula>
    </cfRule>
    <cfRule type="expression" dxfId="3567" priority="119">
      <formula>B$9&lt;8/24</formula>
    </cfRule>
  </conditionalFormatting>
  <conditionalFormatting sqref="B99">
    <cfRule type="expression" dxfId="3566" priority="112">
      <formula>B$9&gt;=20/24</formula>
    </cfRule>
    <cfRule type="expression" dxfId="3565" priority="113">
      <formula>AND(B$9&gt;=14/24,B$9&lt;20/24)</formula>
    </cfRule>
    <cfRule type="expression" dxfId="3564" priority="114">
      <formula>AND(B$9&gt;=8/24,B$9&lt;14/24)</formula>
    </cfRule>
    <cfRule type="expression" dxfId="3563" priority="115">
      <formula>B$9&lt;8/24</formula>
    </cfRule>
  </conditionalFormatting>
  <conditionalFormatting sqref="B71 B54:B57">
    <cfRule type="expression" dxfId="3562" priority="108">
      <formula>B$9&gt;=20/24</formula>
    </cfRule>
    <cfRule type="expression" dxfId="3561" priority="109">
      <formula>AND(B$9&gt;=14/24,B$9&lt;20/24)</formula>
    </cfRule>
    <cfRule type="expression" dxfId="3560" priority="110">
      <formula>AND(B$9&gt;=8/24,B$9&lt;14/24)</formula>
    </cfRule>
    <cfRule type="expression" dxfId="3559" priority="111">
      <formula>B$9&lt;8/24</formula>
    </cfRule>
  </conditionalFormatting>
  <conditionalFormatting sqref="B53">
    <cfRule type="expression" dxfId="3558" priority="104">
      <formula>B$9&gt;=20/24</formula>
    </cfRule>
    <cfRule type="expression" dxfId="3557" priority="105">
      <formula>AND(B$9&gt;=14/24,B$9&lt;20/24)</formula>
    </cfRule>
    <cfRule type="expression" dxfId="3556" priority="106">
      <formula>AND(B$9&gt;=8/24,B$9&lt;14/24)</formula>
    </cfRule>
    <cfRule type="expression" dxfId="3555" priority="107">
      <formula>B$9&lt;8/24</formula>
    </cfRule>
  </conditionalFormatting>
  <conditionalFormatting sqref="B53:B57">
    <cfRule type="expression" dxfId="3554" priority="103">
      <formula>B53&gt;$AG53</formula>
    </cfRule>
  </conditionalFormatting>
  <conditionalFormatting sqref="B96 B86 B100:B106 B67:B69 B72:B74 B47">
    <cfRule type="expression" dxfId="3553" priority="99">
      <formula>B$9&gt;=20/24</formula>
    </cfRule>
    <cfRule type="expression" dxfId="3552" priority="100">
      <formula>AND(B$9&gt;=14/24,B$9&lt;20/24)</formula>
    </cfRule>
    <cfRule type="expression" dxfId="3551" priority="101">
      <formula>AND(B$9&gt;=8/24,B$9&lt;14/24)</formula>
    </cfRule>
    <cfRule type="expression" dxfId="3550" priority="102">
      <formula>B$9&lt;8/24</formula>
    </cfRule>
  </conditionalFormatting>
  <conditionalFormatting sqref="B67:B69 B47">
    <cfRule type="expression" dxfId="3549" priority="98">
      <formula>B47&gt;$AG47</formula>
    </cfRule>
  </conditionalFormatting>
  <conditionalFormatting sqref="B97 B88">
    <cfRule type="expression" dxfId="3548" priority="94">
      <formula>B$9&gt;=20/24</formula>
    </cfRule>
    <cfRule type="expression" dxfId="3547" priority="95">
      <formula>AND(B$9&gt;=14/24,B$9&lt;20/24)</formula>
    </cfRule>
    <cfRule type="expression" dxfId="3546" priority="96">
      <formula>AND(B$9&gt;=8/24,B$9&lt;14/24)</formula>
    </cfRule>
    <cfRule type="expression" dxfId="3545" priority="97">
      <formula>B$9&lt;8/24</formula>
    </cfRule>
  </conditionalFormatting>
  <conditionalFormatting sqref="B58">
    <cfRule type="expression" dxfId="3544" priority="90">
      <formula>B$9&gt;=20/24</formula>
    </cfRule>
    <cfRule type="expression" dxfId="3543" priority="91">
      <formula>AND(B$9&gt;=14/24,B$9&lt;20/24)</formula>
    </cfRule>
    <cfRule type="expression" dxfId="3542" priority="92">
      <formula>AND(B$9&gt;=8/24,B$9&lt;14/24)</formula>
    </cfRule>
    <cfRule type="expression" dxfId="3541" priority="93">
      <formula>B$9&lt;8/24</formula>
    </cfRule>
  </conditionalFormatting>
  <conditionalFormatting sqref="B58">
    <cfRule type="expression" dxfId="3540" priority="89">
      <formula>B58&gt;$AG58</formula>
    </cfRule>
  </conditionalFormatting>
  <conditionalFormatting sqref="B91:B95">
    <cfRule type="expression" dxfId="3539" priority="85">
      <formula>B$9&gt;=20/24</formula>
    </cfRule>
    <cfRule type="expression" dxfId="3538" priority="86">
      <formula>AND(B$9&gt;=14/24,B$9&lt;20/24)</formula>
    </cfRule>
    <cfRule type="expression" dxfId="3537" priority="87">
      <formula>AND(B$9&gt;=8/24,B$9&lt;14/24)</formula>
    </cfRule>
    <cfRule type="expression" dxfId="3536" priority="88">
      <formula>B$9&lt;8/24</formula>
    </cfRule>
  </conditionalFormatting>
  <conditionalFormatting sqref="B49:B51">
    <cfRule type="expression" dxfId="3535" priority="81">
      <formula>B$9&gt;=20/24</formula>
    </cfRule>
    <cfRule type="expression" dxfId="3534" priority="82">
      <formula>AND(B$9&gt;=14/24,B$9&lt;20/24)</formula>
    </cfRule>
    <cfRule type="expression" dxfId="3533" priority="83">
      <formula>AND(B$9&gt;=8/24,B$9&lt;14/24)</formula>
    </cfRule>
    <cfRule type="expression" dxfId="3532" priority="84">
      <formula>B$9&lt;8/24</formula>
    </cfRule>
  </conditionalFormatting>
  <conditionalFormatting sqref="B49:B51">
    <cfRule type="expression" dxfId="3531" priority="80">
      <formula>B49&gt;$AG49</formula>
    </cfRule>
  </conditionalFormatting>
  <conditionalFormatting sqref="B107">
    <cfRule type="expression" dxfId="3530" priority="76">
      <formula>B$9&gt;=20/24</formula>
    </cfRule>
    <cfRule type="expression" dxfId="3529" priority="77">
      <formula>AND(B$9&gt;=14/24,B$9&lt;20/24)</formula>
    </cfRule>
    <cfRule type="expression" dxfId="3528" priority="78">
      <formula>AND(B$9&gt;=8/24,B$9&lt;14/24)</formula>
    </cfRule>
    <cfRule type="expression" dxfId="3527" priority="79">
      <formula>B$9&lt;8/24</formula>
    </cfRule>
  </conditionalFormatting>
  <conditionalFormatting sqref="B110">
    <cfRule type="expression" dxfId="3526" priority="72">
      <formula>B$9&gt;=20/24</formula>
    </cfRule>
    <cfRule type="expression" dxfId="3525" priority="73">
      <formula>AND(B$9&gt;=14/24,B$9&lt;20/24)</formula>
    </cfRule>
    <cfRule type="expression" dxfId="3524" priority="74">
      <formula>AND(B$9&gt;=8/24,B$9&lt;14/24)</formula>
    </cfRule>
    <cfRule type="expression" dxfId="3523" priority="75">
      <formula>B$9&lt;8/24</formula>
    </cfRule>
  </conditionalFormatting>
  <conditionalFormatting sqref="B83:B85 B75:B76">
    <cfRule type="expression" dxfId="3522" priority="68">
      <formula>B$9&gt;=20/24</formula>
    </cfRule>
    <cfRule type="expression" dxfId="3521" priority="69">
      <formula>AND(B$9&gt;=14/24,B$9&lt;20/24)</formula>
    </cfRule>
    <cfRule type="expression" dxfId="3520" priority="70">
      <formula>AND(B$9&gt;=8/24,B$9&lt;14/24)</formula>
    </cfRule>
    <cfRule type="expression" dxfId="3519" priority="71">
      <formula>B$9&lt;8/24</formula>
    </cfRule>
  </conditionalFormatting>
  <conditionalFormatting sqref="B87 B89 B98 B70:L70">
    <cfRule type="expression" dxfId="3518" priority="64">
      <formula>B$9&gt;=20/24</formula>
    </cfRule>
    <cfRule type="expression" dxfId="3517" priority="65">
      <formula>AND(B$9&gt;=14/24,B$9&lt;20/24)</formula>
    </cfRule>
    <cfRule type="expression" dxfId="3516" priority="66">
      <formula>AND(B$9&gt;=8/24,B$9&lt;14/24)</formula>
    </cfRule>
    <cfRule type="expression" dxfId="3515" priority="67">
      <formula>B$9&lt;8/24</formula>
    </cfRule>
  </conditionalFormatting>
  <conditionalFormatting sqref="B65:B66 B70:L70">
    <cfRule type="expression" dxfId="3514" priority="63">
      <formula>B65&gt;$AG65</formula>
    </cfRule>
  </conditionalFormatting>
  <conditionalFormatting sqref="B82">
    <cfRule type="expression" dxfId="3513" priority="59">
      <formula>B$9&gt;=20/24</formula>
    </cfRule>
    <cfRule type="expression" dxfId="3512" priority="60">
      <formula>AND(B$9&gt;=14/24,B$9&lt;20/24)</formula>
    </cfRule>
    <cfRule type="expression" dxfId="3511" priority="61">
      <formula>AND(B$9&gt;=8/24,B$9&lt;14/24)</formula>
    </cfRule>
    <cfRule type="expression" dxfId="3510" priority="62">
      <formula>B$9&lt;8/24</formula>
    </cfRule>
  </conditionalFormatting>
  <conditionalFormatting sqref="B52">
    <cfRule type="expression" dxfId="3509" priority="55">
      <formula>B$9&gt;=20/24</formula>
    </cfRule>
    <cfRule type="expression" dxfId="3508" priority="56">
      <formula>AND(B$9&gt;=14/24,B$9&lt;20/24)</formula>
    </cfRule>
    <cfRule type="expression" dxfId="3507" priority="57">
      <formula>AND(B$9&gt;=8/24,B$9&lt;14/24)</formula>
    </cfRule>
    <cfRule type="expression" dxfId="3506" priority="58">
      <formula>B$9&lt;8/24</formula>
    </cfRule>
  </conditionalFormatting>
  <conditionalFormatting sqref="B52">
    <cfRule type="expression" dxfId="3505" priority="54">
      <formula>B52&gt;$AG52</formula>
    </cfRule>
  </conditionalFormatting>
  <conditionalFormatting sqref="B59:B64">
    <cfRule type="expression" dxfId="3504" priority="46">
      <formula>B$9&gt;=20/24</formula>
    </cfRule>
    <cfRule type="expression" dxfId="3503" priority="47">
      <formula>AND(B$9&gt;=14/24,B$9&lt;20/24)</formula>
    </cfRule>
    <cfRule type="expression" dxfId="3502" priority="48">
      <formula>AND(B$9&gt;=8/24,B$9&lt;14/24)</formula>
    </cfRule>
    <cfRule type="expression" dxfId="3501" priority="49">
      <formula>B$9&lt;8/24</formula>
    </cfRule>
  </conditionalFormatting>
  <conditionalFormatting sqref="B59:B64">
    <cfRule type="expression" dxfId="3500" priority="45">
      <formula>B59&gt;$AG59</formula>
    </cfRule>
  </conditionalFormatting>
  <conditionalFormatting sqref="B77:B81">
    <cfRule type="expression" dxfId="3499" priority="41">
      <formula>B$9&gt;=20/24</formula>
    </cfRule>
    <cfRule type="expression" dxfId="3498" priority="42">
      <formula>AND(B$9&gt;=14/24,B$9&lt;20/24)</formula>
    </cfRule>
    <cfRule type="expression" dxfId="3497" priority="43">
      <formula>AND(B$9&gt;=8/24,B$9&lt;14/24)</formula>
    </cfRule>
    <cfRule type="expression" dxfId="3496" priority="44">
      <formula>B$9&lt;8/24</formula>
    </cfRule>
  </conditionalFormatting>
  <conditionalFormatting sqref="B12:D15 E14:U15 B17:Y32 B34:Y43 B45:Y45">
    <cfRule type="expression" dxfId="3495" priority="37">
      <formula>B$9&gt;=20/24</formula>
    </cfRule>
    <cfRule type="expression" dxfId="3494" priority="38">
      <formula>AND(B$9&gt;=14/24,B$9&lt;20/24)</formula>
    </cfRule>
    <cfRule type="expression" dxfId="3493" priority="39">
      <formula>AND(B$9&gt;=8/24,B$9&lt;14/24)</formula>
    </cfRule>
    <cfRule type="expression" dxfId="3492" priority="40">
      <formula>B$9&lt;8/24</formula>
    </cfRule>
  </conditionalFormatting>
  <conditionalFormatting sqref="B12:D15 E14:U15 B17:Y32 B34:Y43 B45:Y45">
    <cfRule type="expression" dxfId="3491" priority="36">
      <formula>B12&gt;$AG12</formula>
    </cfRule>
  </conditionalFormatting>
  <conditionalFormatting sqref="B46:Y46">
    <cfRule type="expression" dxfId="3490" priority="32">
      <formula>B$9&gt;=20/24</formula>
    </cfRule>
    <cfRule type="expression" dxfId="3489" priority="33">
      <formula>AND(B$9&gt;=14/24,B$9&lt;20/24)</formula>
    </cfRule>
    <cfRule type="expression" dxfId="3488" priority="34">
      <formula>AND(B$9&gt;=8/24,B$9&lt;14/24)</formula>
    </cfRule>
    <cfRule type="expression" dxfId="3487" priority="35">
      <formula>B$9&lt;8/24</formula>
    </cfRule>
  </conditionalFormatting>
  <conditionalFormatting sqref="B46:Y46">
    <cfRule type="expression" dxfId="3486" priority="31">
      <formula>B46&gt;$AG46</formula>
    </cfRule>
  </conditionalFormatting>
  <conditionalFormatting sqref="B48">
    <cfRule type="expression" dxfId="3485" priority="30">
      <formula>B48&gt;$AG48</formula>
    </cfRule>
  </conditionalFormatting>
  <conditionalFormatting sqref="B11:T11">
    <cfRule type="expression" dxfId="3484" priority="26">
      <formula>B$9&gt;=20/24</formula>
    </cfRule>
    <cfRule type="expression" dxfId="3483" priority="27">
      <formula>AND(B$9&gt;=14/24,B$9&lt;20/24)</formula>
    </cfRule>
    <cfRule type="expression" dxfId="3482" priority="28">
      <formula>AND(B$9&gt;=8/24,B$9&lt;14/24)</formula>
    </cfRule>
    <cfRule type="expression" dxfId="3481" priority="29">
      <formula>B$9&lt;8/24</formula>
    </cfRule>
  </conditionalFormatting>
  <conditionalFormatting sqref="B11:T11">
    <cfRule type="expression" dxfId="3480" priority="25">
      <formula>B11&gt;$AG11</formula>
    </cfRule>
  </conditionalFormatting>
  <conditionalFormatting sqref="B16:Y16">
    <cfRule type="expression" dxfId="3479" priority="21">
      <formula>B$9&gt;=20/24</formula>
    </cfRule>
    <cfRule type="expression" dxfId="3478" priority="22">
      <formula>AND(B$9&gt;=14/24,B$9&lt;20/24)</formula>
    </cfRule>
    <cfRule type="expression" dxfId="3477" priority="23">
      <formula>AND(B$9&gt;=8/24,B$9&lt;14/24)</formula>
    </cfRule>
    <cfRule type="expression" dxfId="3476" priority="24">
      <formula>B$9&lt;8/24</formula>
    </cfRule>
  </conditionalFormatting>
  <conditionalFormatting sqref="B16:Y16">
    <cfRule type="expression" dxfId="3475" priority="20">
      <formula>B16&gt;$AG16</formula>
    </cfRule>
  </conditionalFormatting>
  <conditionalFormatting sqref="B33:Y33">
    <cfRule type="expression" dxfId="3474" priority="16">
      <formula>B$9&gt;=20/24</formula>
    </cfRule>
    <cfRule type="expression" dxfId="3473" priority="17">
      <formula>AND(B$9&gt;=14/24,B$9&lt;20/24)</formula>
    </cfRule>
    <cfRule type="expression" dxfId="3472" priority="18">
      <formula>AND(B$9&gt;=8/24,B$9&lt;14/24)</formula>
    </cfRule>
    <cfRule type="expression" dxfId="3471" priority="19">
      <formula>B$9&lt;8/24</formula>
    </cfRule>
  </conditionalFormatting>
  <conditionalFormatting sqref="B33:Y33">
    <cfRule type="expression" dxfId="3470" priority="15">
      <formula>B33&gt;$AG33</formula>
    </cfRule>
  </conditionalFormatting>
  <conditionalFormatting sqref="B44:Y44">
    <cfRule type="expression" dxfId="3469" priority="11">
      <formula>B$9&gt;=20/24</formula>
    </cfRule>
    <cfRule type="expression" dxfId="3468" priority="12">
      <formula>AND(B$9&gt;=14/24,B$9&lt;20/24)</formula>
    </cfRule>
    <cfRule type="expression" dxfId="3467" priority="13">
      <formula>AND(B$9&gt;=8/24,B$9&lt;14/24)</formula>
    </cfRule>
    <cfRule type="expression" dxfId="3466" priority="14">
      <formula>B$9&lt;8/24</formula>
    </cfRule>
  </conditionalFormatting>
  <conditionalFormatting sqref="B44:Y44">
    <cfRule type="expression" dxfId="3465" priority="10">
      <formula>B44&gt;$AG44</formula>
    </cfRule>
  </conditionalFormatting>
  <conditionalFormatting sqref="B117">
    <cfRule type="expression" dxfId="3464" priority="6">
      <formula>B$9&gt;=20/24</formula>
    </cfRule>
    <cfRule type="expression" dxfId="3463" priority="7">
      <formula>AND(B$9&gt;=14/24,B$9&lt;20/24)</formula>
    </cfRule>
    <cfRule type="expression" dxfId="3462" priority="8">
      <formula>AND(B$9&gt;=8/24,B$9&lt;14/24)</formula>
    </cfRule>
    <cfRule type="expression" dxfId="3461" priority="9">
      <formula>B$9&lt;8/24</formula>
    </cfRule>
  </conditionalFormatting>
  <conditionalFormatting sqref="S56:X57 Y57">
    <cfRule type="expression" dxfId="3460" priority="2">
      <formula>S$9&gt;=20/24</formula>
    </cfRule>
    <cfRule type="expression" dxfId="3459" priority="3">
      <formula>AND(S$9&gt;=14/24,S$9&lt;20/24)</formula>
    </cfRule>
    <cfRule type="expression" dxfId="3458" priority="4">
      <formula>AND(S$9&gt;=8/24,S$9&lt;14/24)</formula>
    </cfRule>
    <cfRule type="expression" dxfId="3457" priority="5">
      <formula>S$9&lt;8/24</formula>
    </cfRule>
  </conditionalFormatting>
  <conditionalFormatting sqref="S56:X57 Y57">
    <cfRule type="expression" dxfId="3456" priority="1">
      <formula>S56&gt;$AG56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00" id="{389A0B18-3AAB-4CA8-AD64-44309AE3EBF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01" id="{038299D1-A604-4E8F-9EE3-AD0C1752461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02" id="{00587085-F667-44CF-952E-44225A4B994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03" id="{B44642E8-1738-49C4-A47C-93BB59150CD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50" id="{4B7062D9-6E1F-4AC6-A66F-FB243BBA185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1" id="{A795AF32-FDE7-4013-BCC5-9C89488C2DC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2" id="{B50E5820-3DCF-4074-9F4E-97A59A7F2E2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3" id="{1126806D-FA45-4BA2-A816-3D1F692BB61F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Normal="100" workbookViewId="0">
      <pane ySplit="10" topLeftCell="A50" activePane="bottomLeft" state="frozen"/>
      <selection activeCell="Z85" sqref="Z85"/>
      <selection pane="bottomLeft" activeCell="M11" sqref="M11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2079/12/19</v>
      </c>
      <c r="C4" s="236"/>
      <c r="D4" s="236"/>
      <c r="E4" s="237" t="str">
        <f ca="1">"2079/"&amp;"12/"&amp;INT(MID(CELL("filename",G6),FIND("]",CELL("filename",G6))+1,200))</f>
        <v>2079/12/19</v>
      </c>
      <c r="F4" s="237"/>
      <c r="G4" s="237"/>
      <c r="H4" s="237" t="str">
        <f ca="1">TEXT(E4,"dddd")</f>
        <v>Tuesday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336</v>
      </c>
      <c r="C5" s="33">
        <f t="shared" si="0"/>
        <v>324</v>
      </c>
      <c r="D5" s="33">
        <f t="shared" si="0"/>
        <v>376.8</v>
      </c>
      <c r="E5" s="33">
        <f t="shared" si="0"/>
        <v>355</v>
      </c>
      <c r="F5" s="33">
        <f t="shared" si="0"/>
        <v>364.7</v>
      </c>
      <c r="G5" s="33">
        <f t="shared" si="0"/>
        <v>400.59999999999997</v>
      </c>
      <c r="H5" s="33">
        <f t="shared" si="0"/>
        <v>408.4</v>
      </c>
      <c r="I5" s="33">
        <f t="shared" si="0"/>
        <v>423.9</v>
      </c>
      <c r="J5" s="33">
        <f t="shared" si="0"/>
        <v>439</v>
      </c>
      <c r="K5" s="33">
        <f t="shared" si="0"/>
        <v>434.9</v>
      </c>
      <c r="L5" s="33">
        <f t="shared" si="0"/>
        <v>465</v>
      </c>
      <c r="M5" s="33">
        <f t="shared" si="0"/>
        <v>548.70000000000005</v>
      </c>
      <c r="N5" s="33">
        <f t="shared" si="0"/>
        <v>586</v>
      </c>
      <c r="O5" s="33">
        <f t="shared" si="0"/>
        <v>575.6</v>
      </c>
      <c r="P5" s="33">
        <f t="shared" si="0"/>
        <v>584.6</v>
      </c>
      <c r="Q5" s="33">
        <f t="shared" si="0"/>
        <v>566.79999999999995</v>
      </c>
      <c r="R5" s="33">
        <f t="shared" si="0"/>
        <v>596.69999999999993</v>
      </c>
      <c r="S5" s="33">
        <f t="shared" si="0"/>
        <v>569.9</v>
      </c>
      <c r="T5" s="33">
        <f t="shared" si="0"/>
        <v>575.6</v>
      </c>
      <c r="U5" s="33">
        <f t="shared" si="0"/>
        <v>565.29999999999995</v>
      </c>
      <c r="V5" s="33">
        <f t="shared" si="0"/>
        <v>555</v>
      </c>
      <c r="W5" s="33">
        <f t="shared" si="0"/>
        <v>525.20000000000005</v>
      </c>
      <c r="X5" s="33">
        <f t="shared" si="0"/>
        <v>534.20000000000005</v>
      </c>
      <c r="Y5" s="33">
        <f t="shared" si="0"/>
        <v>518.20000000000005</v>
      </c>
      <c r="Z5" s="33">
        <f t="shared" si="0"/>
        <v>511.67</v>
      </c>
      <c r="AA5" s="33">
        <f t="shared" si="0"/>
        <v>523.9</v>
      </c>
      <c r="AB5" s="33">
        <f t="shared" si="0"/>
        <v>550.09999999999991</v>
      </c>
      <c r="AC5" s="33">
        <f t="shared" si="0"/>
        <v>549.29999999999995</v>
      </c>
      <c r="AD5" s="33">
        <f t="shared" si="0"/>
        <v>511.3</v>
      </c>
      <c r="AE5" s="33">
        <f t="shared" si="0"/>
        <v>427</v>
      </c>
      <c r="AF5" s="33">
        <f>B82</f>
        <v>102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1361MW at 9:00hr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Load=1008</v>
      </c>
      <c r="B7" s="38">
        <f t="shared" ref="B7:AF7" si="1">B89</f>
        <v>1017.3399999999999</v>
      </c>
      <c r="C7" s="38">
        <f t="shared" si="1"/>
        <v>1019.94</v>
      </c>
      <c r="D7" s="38">
        <f t="shared" si="1"/>
        <v>1007.5400000000001</v>
      </c>
      <c r="E7" s="38">
        <f t="shared" si="1"/>
        <v>1027.94</v>
      </c>
      <c r="F7" s="38">
        <f t="shared" si="1"/>
        <v>1023.24</v>
      </c>
      <c r="G7" s="38">
        <f t="shared" si="1"/>
        <v>1030.74</v>
      </c>
      <c r="H7" s="38">
        <f t="shared" si="1"/>
        <v>1095.3399999999999</v>
      </c>
      <c r="I7" s="38">
        <f t="shared" si="1"/>
        <v>1181.8400000000001</v>
      </c>
      <c r="J7" s="38">
        <f t="shared" si="1"/>
        <v>1248.8399999999999</v>
      </c>
      <c r="K7" s="38">
        <f t="shared" si="1"/>
        <v>1303.3399999999999</v>
      </c>
      <c r="L7" s="38">
        <f t="shared" si="1"/>
        <v>1310.8400000000001</v>
      </c>
      <c r="M7" s="38">
        <f t="shared" si="1"/>
        <v>1347.44</v>
      </c>
      <c r="N7" s="38">
        <f>N89</f>
        <v>1361.04</v>
      </c>
      <c r="O7" s="38">
        <f t="shared" si="1"/>
        <v>1395.1399999999999</v>
      </c>
      <c r="P7" s="38">
        <f t="shared" si="1"/>
        <v>1346.7400000000002</v>
      </c>
      <c r="Q7" s="38">
        <f t="shared" si="1"/>
        <v>1370.3400000000001</v>
      </c>
      <c r="R7" s="38">
        <f t="shared" si="1"/>
        <v>1360.74</v>
      </c>
      <c r="S7" s="38">
        <f t="shared" si="1"/>
        <v>1434.6399999999999</v>
      </c>
      <c r="T7" s="38">
        <f t="shared" si="1"/>
        <v>1423.44</v>
      </c>
      <c r="U7" s="38">
        <f t="shared" si="1"/>
        <v>1352.54</v>
      </c>
      <c r="V7" s="38">
        <f t="shared" si="1"/>
        <v>1276.44</v>
      </c>
      <c r="W7" s="38">
        <f t="shared" si="1"/>
        <v>1271.24</v>
      </c>
      <c r="X7" s="38">
        <f t="shared" si="1"/>
        <v>1226.04</v>
      </c>
      <c r="Y7" s="38">
        <f t="shared" si="1"/>
        <v>1369.54</v>
      </c>
      <c r="Z7" s="38">
        <f t="shared" si="1"/>
        <v>1491.94</v>
      </c>
      <c r="AA7" s="38">
        <f t="shared" si="1"/>
        <v>1546.8100000000002</v>
      </c>
      <c r="AB7" s="38">
        <f t="shared" si="1"/>
        <v>1461.1399999999999</v>
      </c>
      <c r="AC7" s="38">
        <f t="shared" si="1"/>
        <v>1354.04</v>
      </c>
      <c r="AD7" s="38">
        <f t="shared" si="1"/>
        <v>1323.04</v>
      </c>
      <c r="AE7" s="38">
        <f t="shared" si="1"/>
        <v>1255.04</v>
      </c>
      <c r="AF7" s="38">
        <f t="shared" si="1"/>
        <v>1194.94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45</v>
      </c>
      <c r="C11" s="50">
        <v>45</v>
      </c>
      <c r="D11" s="50">
        <v>45</v>
      </c>
      <c r="E11" s="50">
        <v>45</v>
      </c>
      <c r="F11" s="50">
        <v>45</v>
      </c>
      <c r="G11" s="50">
        <v>45</v>
      </c>
      <c r="H11" s="50">
        <v>45</v>
      </c>
      <c r="I11" s="50">
        <v>45</v>
      </c>
      <c r="J11" s="50">
        <v>45</v>
      </c>
      <c r="K11" s="50">
        <v>45</v>
      </c>
      <c r="L11" s="50">
        <v>45</v>
      </c>
      <c r="M11" s="50">
        <v>31</v>
      </c>
      <c r="N11" s="50">
        <v>31</v>
      </c>
      <c r="O11" s="50">
        <v>31</v>
      </c>
      <c r="P11" s="50">
        <v>20</v>
      </c>
      <c r="Q11" s="50">
        <v>20</v>
      </c>
      <c r="R11" s="50">
        <v>20</v>
      </c>
      <c r="S11" s="50">
        <v>20</v>
      </c>
      <c r="T11" s="50">
        <v>20</v>
      </c>
      <c r="U11" s="50">
        <v>20</v>
      </c>
      <c r="V11" s="50">
        <v>20</v>
      </c>
      <c r="W11" s="50">
        <v>20</v>
      </c>
      <c r="X11" s="50">
        <v>20</v>
      </c>
      <c r="Y11" s="50">
        <v>20</v>
      </c>
      <c r="Z11" s="50">
        <v>20</v>
      </c>
      <c r="AA11" s="50">
        <v>20</v>
      </c>
      <c r="AB11" s="50">
        <v>20</v>
      </c>
      <c r="AC11" s="50">
        <v>20</v>
      </c>
      <c r="AD11" s="50">
        <v>20</v>
      </c>
      <c r="AE11" s="50">
        <v>20</v>
      </c>
      <c r="AF11" s="50">
        <v>20</v>
      </c>
      <c r="AG11" s="51">
        <v>86</v>
      </c>
      <c r="AH11" s="52">
        <f t="shared" ref="AH11:AH74" si="2">MAX(B11:AF11)</f>
        <v>45</v>
      </c>
      <c r="AI11" s="53">
        <f t="shared" ref="AI11:AI74" si="3">MIN(B11:AF11)</f>
        <v>20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13.6</v>
      </c>
      <c r="C12" s="50">
        <v>13.6</v>
      </c>
      <c r="D12" s="50">
        <v>13.6</v>
      </c>
      <c r="E12" s="50">
        <v>13.6</v>
      </c>
      <c r="F12" s="50">
        <v>13.6</v>
      </c>
      <c r="G12" s="50">
        <v>13.6</v>
      </c>
      <c r="H12" s="50">
        <v>13.6</v>
      </c>
      <c r="I12" s="50">
        <v>17.7</v>
      </c>
      <c r="J12" s="50">
        <v>17.7</v>
      </c>
      <c r="K12" s="50">
        <v>17.7</v>
      </c>
      <c r="L12" s="50">
        <v>17.7</v>
      </c>
      <c r="M12" s="50">
        <v>17.7</v>
      </c>
      <c r="N12" s="50">
        <v>17.7</v>
      </c>
      <c r="O12" s="50">
        <v>16.7</v>
      </c>
      <c r="P12" s="50">
        <v>16</v>
      </c>
      <c r="Q12" s="50">
        <v>16</v>
      </c>
      <c r="R12" s="50">
        <v>16</v>
      </c>
      <c r="S12" s="50">
        <v>16</v>
      </c>
      <c r="T12" s="50">
        <v>16</v>
      </c>
      <c r="U12" s="50">
        <v>16</v>
      </c>
      <c r="V12" s="50">
        <v>16</v>
      </c>
      <c r="W12" s="50">
        <v>16</v>
      </c>
      <c r="X12" s="50">
        <v>16</v>
      </c>
      <c r="Y12" s="50">
        <v>16</v>
      </c>
      <c r="Z12" s="50">
        <v>16</v>
      </c>
      <c r="AA12" s="50">
        <v>16</v>
      </c>
      <c r="AB12" s="50">
        <v>13.6</v>
      </c>
      <c r="AC12" s="50">
        <v>13.6</v>
      </c>
      <c r="AD12" s="50">
        <v>13.6</v>
      </c>
      <c r="AE12" s="50">
        <v>13.6</v>
      </c>
      <c r="AF12" s="50">
        <v>13.6</v>
      </c>
      <c r="AG12" s="51">
        <v>52.4</v>
      </c>
      <c r="AH12" s="52">
        <f t="shared" si="2"/>
        <v>17.7</v>
      </c>
      <c r="AI12" s="53">
        <f t="shared" si="3"/>
        <v>13.6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44.1</v>
      </c>
      <c r="C13" s="50">
        <v>44.1</v>
      </c>
      <c r="D13" s="50">
        <v>44.1</v>
      </c>
      <c r="E13" s="50">
        <v>44.1</v>
      </c>
      <c r="F13" s="50">
        <v>44.1</v>
      </c>
      <c r="G13" s="50">
        <v>44.1</v>
      </c>
      <c r="H13" s="50">
        <v>44.1</v>
      </c>
      <c r="I13" s="50">
        <v>38.1</v>
      </c>
      <c r="J13" s="50">
        <v>38.1</v>
      </c>
      <c r="K13" s="50">
        <v>38.1</v>
      </c>
      <c r="L13" s="50">
        <v>38.1</v>
      </c>
      <c r="M13" s="50">
        <v>37.9</v>
      </c>
      <c r="N13" s="50">
        <v>37.9</v>
      </c>
      <c r="O13" s="50">
        <v>38</v>
      </c>
      <c r="P13" s="50">
        <v>37.6</v>
      </c>
      <c r="Q13" s="50">
        <v>37.6</v>
      </c>
      <c r="R13" s="50">
        <v>37.6</v>
      </c>
      <c r="S13" s="50">
        <v>37.6</v>
      </c>
      <c r="T13" s="50">
        <v>37.6</v>
      </c>
      <c r="U13" s="50">
        <v>37.6</v>
      </c>
      <c r="V13" s="50">
        <v>37.6</v>
      </c>
      <c r="W13" s="50">
        <v>37.6</v>
      </c>
      <c r="X13" s="50">
        <v>37.6</v>
      </c>
      <c r="Y13" s="50">
        <v>37.6</v>
      </c>
      <c r="Z13" s="50">
        <v>37.6</v>
      </c>
      <c r="AA13" s="50">
        <v>37.6</v>
      </c>
      <c r="AB13" s="50">
        <v>37.6</v>
      </c>
      <c r="AC13" s="50">
        <v>37.6</v>
      </c>
      <c r="AD13" s="50">
        <v>37.6</v>
      </c>
      <c r="AE13" s="50">
        <v>37.6</v>
      </c>
      <c r="AF13" s="50">
        <v>37.6</v>
      </c>
      <c r="AG13" s="55">
        <v>50</v>
      </c>
      <c r="AH13" s="52">
        <f t="shared" si="2"/>
        <v>44.1</v>
      </c>
      <c r="AI13" s="53">
        <f t="shared" si="3"/>
        <v>37.6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24.3</v>
      </c>
      <c r="C14" s="50">
        <v>24.3</v>
      </c>
      <c r="D14" s="50">
        <v>24.3</v>
      </c>
      <c r="E14" s="50">
        <v>24.3</v>
      </c>
      <c r="F14" s="50">
        <v>24.3</v>
      </c>
      <c r="G14" s="50">
        <v>24.3</v>
      </c>
      <c r="H14" s="50">
        <v>24.3</v>
      </c>
      <c r="I14" s="50">
        <v>18.7</v>
      </c>
      <c r="J14" s="50">
        <v>18.7</v>
      </c>
      <c r="K14" s="50">
        <v>18.7</v>
      </c>
      <c r="L14" s="50">
        <v>18.7</v>
      </c>
      <c r="M14" s="50">
        <v>18</v>
      </c>
      <c r="N14" s="50">
        <v>18</v>
      </c>
      <c r="O14" s="50">
        <v>18</v>
      </c>
      <c r="P14" s="50">
        <v>17.3</v>
      </c>
      <c r="Q14" s="50">
        <v>17.3</v>
      </c>
      <c r="R14" s="50">
        <v>17.3</v>
      </c>
      <c r="S14" s="50">
        <v>17.3</v>
      </c>
      <c r="T14" s="50">
        <v>17.3</v>
      </c>
      <c r="U14" s="50">
        <v>17.3</v>
      </c>
      <c r="V14" s="50">
        <v>17.3</v>
      </c>
      <c r="W14" s="50">
        <v>17.3</v>
      </c>
      <c r="X14" s="50">
        <v>17.3</v>
      </c>
      <c r="Y14" s="50">
        <v>17.3</v>
      </c>
      <c r="Z14" s="50">
        <v>17.3</v>
      </c>
      <c r="AA14" s="50">
        <v>17.3</v>
      </c>
      <c r="AB14" s="50">
        <v>17.3</v>
      </c>
      <c r="AC14" s="50">
        <v>17.3</v>
      </c>
      <c r="AD14" s="50">
        <v>17.3</v>
      </c>
      <c r="AE14" s="50">
        <v>17.3</v>
      </c>
      <c r="AF14" s="50">
        <v>17.3</v>
      </c>
      <c r="AG14" s="55">
        <v>45</v>
      </c>
      <c r="AH14" s="52">
        <f t="shared" si="2"/>
        <v>24.3</v>
      </c>
      <c r="AI14" s="53">
        <f t="shared" si="3"/>
        <v>17.3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22</v>
      </c>
      <c r="C15" s="50">
        <v>22</v>
      </c>
      <c r="D15" s="50">
        <v>22</v>
      </c>
      <c r="E15" s="50">
        <v>22</v>
      </c>
      <c r="F15" s="50">
        <v>22</v>
      </c>
      <c r="G15" s="50">
        <v>22</v>
      </c>
      <c r="H15" s="50">
        <v>22</v>
      </c>
      <c r="I15" s="50">
        <v>16</v>
      </c>
      <c r="J15" s="50">
        <v>16</v>
      </c>
      <c r="K15" s="50">
        <v>16</v>
      </c>
      <c r="L15" s="50">
        <v>16</v>
      </c>
      <c r="M15" s="50">
        <v>15</v>
      </c>
      <c r="N15" s="50">
        <v>15</v>
      </c>
      <c r="O15" s="50">
        <v>14</v>
      </c>
      <c r="P15" s="50">
        <v>14</v>
      </c>
      <c r="Q15" s="50">
        <v>14</v>
      </c>
      <c r="R15" s="50">
        <v>14</v>
      </c>
      <c r="S15" s="50">
        <v>14</v>
      </c>
      <c r="T15" s="50">
        <v>14</v>
      </c>
      <c r="U15" s="50">
        <v>14</v>
      </c>
      <c r="V15" s="50">
        <v>14</v>
      </c>
      <c r="W15" s="50">
        <v>14</v>
      </c>
      <c r="X15" s="50">
        <v>14</v>
      </c>
      <c r="Y15" s="50">
        <v>14</v>
      </c>
      <c r="Z15" s="50">
        <v>14</v>
      </c>
      <c r="AA15" s="50">
        <v>14</v>
      </c>
      <c r="AB15" s="50">
        <v>14</v>
      </c>
      <c r="AC15" s="50">
        <v>14</v>
      </c>
      <c r="AD15" s="50">
        <v>14</v>
      </c>
      <c r="AE15" s="50">
        <v>14</v>
      </c>
      <c r="AF15" s="50">
        <v>14</v>
      </c>
      <c r="AG15" s="55">
        <v>42</v>
      </c>
      <c r="AH15" s="52">
        <f t="shared" si="2"/>
        <v>22</v>
      </c>
      <c r="AI15" s="53">
        <f t="shared" si="3"/>
        <v>14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20</v>
      </c>
      <c r="C16" s="50">
        <v>20</v>
      </c>
      <c r="D16" s="50">
        <v>20</v>
      </c>
      <c r="E16" s="50">
        <v>20</v>
      </c>
      <c r="F16" s="50">
        <v>20</v>
      </c>
      <c r="G16" s="50">
        <v>20</v>
      </c>
      <c r="H16" s="50">
        <v>20</v>
      </c>
      <c r="I16" s="50">
        <v>20</v>
      </c>
      <c r="J16" s="50">
        <v>20</v>
      </c>
      <c r="K16" s="50">
        <v>20</v>
      </c>
      <c r="L16" s="50">
        <v>20</v>
      </c>
      <c r="M16" s="50">
        <v>21</v>
      </c>
      <c r="N16" s="50">
        <v>21</v>
      </c>
      <c r="O16" s="50">
        <v>21</v>
      </c>
      <c r="P16" s="50">
        <v>21</v>
      </c>
      <c r="Q16" s="50">
        <v>21</v>
      </c>
      <c r="R16" s="50">
        <v>21</v>
      </c>
      <c r="S16" s="50">
        <v>21</v>
      </c>
      <c r="T16" s="50">
        <v>21</v>
      </c>
      <c r="U16" s="50">
        <v>21</v>
      </c>
      <c r="V16" s="50">
        <v>21</v>
      </c>
      <c r="W16" s="50">
        <v>21</v>
      </c>
      <c r="X16" s="50">
        <v>21</v>
      </c>
      <c r="Y16" s="50">
        <v>21</v>
      </c>
      <c r="Z16" s="50">
        <v>21</v>
      </c>
      <c r="AA16" s="50">
        <v>21</v>
      </c>
      <c r="AB16" s="50">
        <v>21</v>
      </c>
      <c r="AC16" s="50">
        <v>21</v>
      </c>
      <c r="AD16" s="50">
        <v>21</v>
      </c>
      <c r="AE16" s="50">
        <v>21</v>
      </c>
      <c r="AF16" s="50">
        <v>21</v>
      </c>
      <c r="AG16" s="55">
        <v>36</v>
      </c>
      <c r="AH16" s="52">
        <f t="shared" si="2"/>
        <v>21</v>
      </c>
      <c r="AI16" s="53">
        <f t="shared" si="3"/>
        <v>20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17.399999999999999</v>
      </c>
      <c r="C18" s="50">
        <v>17.399999999999999</v>
      </c>
      <c r="D18" s="50">
        <v>17.399999999999999</v>
      </c>
      <c r="E18" s="50">
        <v>17.399999999999999</v>
      </c>
      <c r="F18" s="50">
        <v>17.399999999999999</v>
      </c>
      <c r="G18" s="50">
        <v>17.399999999999999</v>
      </c>
      <c r="H18" s="50">
        <v>17.399999999999999</v>
      </c>
      <c r="I18" s="50">
        <v>12</v>
      </c>
      <c r="J18" s="50">
        <v>12</v>
      </c>
      <c r="K18" s="50">
        <v>12</v>
      </c>
      <c r="L18" s="50">
        <v>12</v>
      </c>
      <c r="M18" s="50">
        <v>12</v>
      </c>
      <c r="N18" s="50">
        <v>12</v>
      </c>
      <c r="O18" s="50">
        <v>11.6</v>
      </c>
      <c r="P18" s="50">
        <v>11.5</v>
      </c>
      <c r="Q18" s="50">
        <v>11.5</v>
      </c>
      <c r="R18" s="50">
        <v>11.5</v>
      </c>
      <c r="S18" s="50">
        <v>11.5</v>
      </c>
      <c r="T18" s="50">
        <v>11.5</v>
      </c>
      <c r="U18" s="50">
        <v>11.5</v>
      </c>
      <c r="V18" s="50">
        <v>11.5</v>
      </c>
      <c r="W18" s="50">
        <v>11.5</v>
      </c>
      <c r="X18" s="50">
        <v>11.5</v>
      </c>
      <c r="Y18" s="50">
        <v>11.5</v>
      </c>
      <c r="Z18" s="50">
        <v>11.5</v>
      </c>
      <c r="AA18" s="50">
        <v>11.5</v>
      </c>
      <c r="AB18" s="50">
        <v>11.5</v>
      </c>
      <c r="AC18" s="50">
        <v>11.5</v>
      </c>
      <c r="AD18" s="50">
        <v>11.5</v>
      </c>
      <c r="AE18" s="50">
        <v>11.5</v>
      </c>
      <c r="AF18" s="50">
        <v>11.5</v>
      </c>
      <c r="AG18" s="56">
        <v>30</v>
      </c>
      <c r="AH18" s="52">
        <f t="shared" si="2"/>
        <v>17.399999999999999</v>
      </c>
      <c r="AI18" s="53">
        <f t="shared" si="3"/>
        <v>11.5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9.4</v>
      </c>
      <c r="C19" s="50">
        <v>9.4</v>
      </c>
      <c r="D19" s="50">
        <v>9.4</v>
      </c>
      <c r="E19" s="50">
        <v>9.4</v>
      </c>
      <c r="F19" s="50">
        <v>9.4</v>
      </c>
      <c r="G19" s="50">
        <v>9.4</v>
      </c>
      <c r="H19" s="50">
        <v>9.4</v>
      </c>
      <c r="I19" s="50">
        <v>9.4</v>
      </c>
      <c r="J19" s="50">
        <v>9.4</v>
      </c>
      <c r="K19" s="50">
        <v>9.4</v>
      </c>
      <c r="L19" s="50">
        <v>9.4</v>
      </c>
      <c r="M19" s="50">
        <v>9.4</v>
      </c>
      <c r="N19" s="50">
        <v>9.4</v>
      </c>
      <c r="O19" s="50">
        <v>7.6</v>
      </c>
      <c r="P19" s="50">
        <v>7.6</v>
      </c>
      <c r="Q19" s="50">
        <v>7.6</v>
      </c>
      <c r="R19" s="50">
        <v>7.6</v>
      </c>
      <c r="S19" s="50">
        <v>7.6</v>
      </c>
      <c r="T19" s="50">
        <v>7.6</v>
      </c>
      <c r="U19" s="50">
        <v>7.6</v>
      </c>
      <c r="V19" s="50">
        <v>7.6</v>
      </c>
      <c r="W19" s="50">
        <v>7.6</v>
      </c>
      <c r="X19" s="50">
        <v>7.6</v>
      </c>
      <c r="Y19" s="50">
        <v>7.6</v>
      </c>
      <c r="Z19" s="50">
        <v>7.6</v>
      </c>
      <c r="AA19" s="50">
        <v>7.6</v>
      </c>
      <c r="AB19" s="50">
        <v>7.6</v>
      </c>
      <c r="AC19" s="50">
        <v>7.6</v>
      </c>
      <c r="AD19" s="50">
        <v>7.6</v>
      </c>
      <c r="AE19" s="50">
        <v>7.6</v>
      </c>
      <c r="AF19" s="50">
        <v>7.6</v>
      </c>
      <c r="AG19" s="55">
        <v>24.2</v>
      </c>
      <c r="AH19" s="52">
        <f t="shared" si="2"/>
        <v>9.4</v>
      </c>
      <c r="AI19" s="53">
        <f t="shared" si="3"/>
        <v>7.6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8</v>
      </c>
      <c r="C20" s="50">
        <v>8</v>
      </c>
      <c r="D20" s="50">
        <v>8</v>
      </c>
      <c r="E20" s="50">
        <v>8</v>
      </c>
      <c r="F20" s="50">
        <v>8</v>
      </c>
      <c r="G20" s="50">
        <v>8</v>
      </c>
      <c r="H20" s="50">
        <v>8</v>
      </c>
      <c r="I20" s="50">
        <v>8</v>
      </c>
      <c r="J20" s="50">
        <v>8</v>
      </c>
      <c r="K20" s="50">
        <v>8</v>
      </c>
      <c r="L20" s="50">
        <v>8</v>
      </c>
      <c r="M20" s="50">
        <v>8</v>
      </c>
      <c r="N20" s="50">
        <v>8</v>
      </c>
      <c r="O20" s="50">
        <v>8</v>
      </c>
      <c r="P20" s="50">
        <v>8</v>
      </c>
      <c r="Q20" s="50">
        <v>8</v>
      </c>
      <c r="R20" s="50">
        <v>8</v>
      </c>
      <c r="S20" s="50">
        <v>8</v>
      </c>
      <c r="T20" s="50">
        <v>8</v>
      </c>
      <c r="U20" s="50">
        <v>8</v>
      </c>
      <c r="V20" s="50">
        <v>8</v>
      </c>
      <c r="W20" s="50">
        <v>8</v>
      </c>
      <c r="X20" s="50">
        <v>8</v>
      </c>
      <c r="Y20" s="50">
        <v>8</v>
      </c>
      <c r="Z20" s="50">
        <v>8</v>
      </c>
      <c r="AA20" s="50">
        <v>8</v>
      </c>
      <c r="AB20" s="50">
        <v>8</v>
      </c>
      <c r="AC20" s="50">
        <v>8</v>
      </c>
      <c r="AD20" s="50">
        <v>8</v>
      </c>
      <c r="AE20" s="50">
        <v>8</v>
      </c>
      <c r="AF20" s="50">
        <v>8</v>
      </c>
      <c r="AG20" s="55">
        <v>28</v>
      </c>
      <c r="AH20" s="52">
        <f t="shared" si="2"/>
        <v>8</v>
      </c>
      <c r="AI20" s="53">
        <f t="shared" si="3"/>
        <v>8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6.5</v>
      </c>
      <c r="C21" s="50">
        <v>6.5</v>
      </c>
      <c r="D21" s="50">
        <v>6.5</v>
      </c>
      <c r="E21" s="50">
        <v>6.5</v>
      </c>
      <c r="F21" s="50">
        <v>6.5</v>
      </c>
      <c r="G21" s="50">
        <v>6.5</v>
      </c>
      <c r="H21" s="50">
        <v>6.5</v>
      </c>
      <c r="I21" s="50">
        <v>6.5</v>
      </c>
      <c r="J21" s="50">
        <v>6.5</v>
      </c>
      <c r="K21" s="50">
        <v>6.5</v>
      </c>
      <c r="L21" s="50">
        <v>6.5</v>
      </c>
      <c r="M21" s="50">
        <v>6.5</v>
      </c>
      <c r="N21" s="50">
        <v>6.5</v>
      </c>
      <c r="O21" s="50">
        <v>6.5</v>
      </c>
      <c r="P21" s="50">
        <v>6.5</v>
      </c>
      <c r="Q21" s="50">
        <v>6.5</v>
      </c>
      <c r="R21" s="50">
        <v>6.5</v>
      </c>
      <c r="S21" s="50">
        <v>6.5</v>
      </c>
      <c r="T21" s="50">
        <v>6.5</v>
      </c>
      <c r="U21" s="50">
        <v>6.5</v>
      </c>
      <c r="V21" s="50">
        <v>6.5</v>
      </c>
      <c r="W21" s="50">
        <v>6.5</v>
      </c>
      <c r="X21" s="50">
        <v>6.5</v>
      </c>
      <c r="Y21" s="50">
        <v>6.5</v>
      </c>
      <c r="Z21" s="50">
        <v>6.5</v>
      </c>
      <c r="AA21" s="50">
        <v>6.5</v>
      </c>
      <c r="AB21" s="50">
        <v>6.5</v>
      </c>
      <c r="AC21" s="50">
        <v>6.5</v>
      </c>
      <c r="AD21" s="50">
        <v>6.5</v>
      </c>
      <c r="AE21" s="50">
        <v>6.5</v>
      </c>
      <c r="AF21" s="50">
        <v>6.5</v>
      </c>
      <c r="AG21" s="56">
        <v>30</v>
      </c>
      <c r="AH21" s="52">
        <f t="shared" si="2"/>
        <v>6.5</v>
      </c>
      <c r="AI21" s="53">
        <f t="shared" si="3"/>
        <v>6.5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10.3</v>
      </c>
      <c r="C22" s="50">
        <v>10.3</v>
      </c>
      <c r="D22" s="50">
        <v>10.3</v>
      </c>
      <c r="E22" s="50">
        <v>10.3</v>
      </c>
      <c r="F22" s="50">
        <v>10.3</v>
      </c>
      <c r="G22" s="50">
        <v>10.3</v>
      </c>
      <c r="H22" s="50">
        <v>10.3</v>
      </c>
      <c r="I22" s="50">
        <v>10.3</v>
      </c>
      <c r="J22" s="50">
        <v>10.3</v>
      </c>
      <c r="K22" s="50">
        <v>10.3</v>
      </c>
      <c r="L22" s="50">
        <v>10.3</v>
      </c>
      <c r="M22" s="50">
        <v>10.3</v>
      </c>
      <c r="N22" s="50">
        <v>10.3</v>
      </c>
      <c r="O22" s="50">
        <v>12</v>
      </c>
      <c r="P22" s="50">
        <v>12</v>
      </c>
      <c r="Q22" s="50">
        <v>12</v>
      </c>
      <c r="R22" s="50">
        <v>12</v>
      </c>
      <c r="S22" s="50">
        <v>12</v>
      </c>
      <c r="T22" s="50">
        <v>12</v>
      </c>
      <c r="U22" s="50">
        <v>12</v>
      </c>
      <c r="V22" s="50">
        <v>12</v>
      </c>
      <c r="W22" s="50">
        <v>12</v>
      </c>
      <c r="X22" s="50">
        <v>12</v>
      </c>
      <c r="Y22" s="50">
        <v>12</v>
      </c>
      <c r="Z22" s="50">
        <v>12</v>
      </c>
      <c r="AA22" s="50">
        <v>12</v>
      </c>
      <c r="AB22" s="50">
        <v>12</v>
      </c>
      <c r="AC22" s="50">
        <v>12</v>
      </c>
      <c r="AD22" s="50">
        <v>12</v>
      </c>
      <c r="AE22" s="50">
        <v>12</v>
      </c>
      <c r="AF22" s="50">
        <v>12</v>
      </c>
      <c r="AG22" s="55">
        <v>25</v>
      </c>
      <c r="AH22" s="52">
        <f t="shared" si="2"/>
        <v>12</v>
      </c>
      <c r="AI22" s="53">
        <f t="shared" si="3"/>
        <v>10.3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13</v>
      </c>
      <c r="N23" s="50">
        <v>13</v>
      </c>
      <c r="O23" s="50">
        <v>13</v>
      </c>
      <c r="P23" s="50">
        <v>13</v>
      </c>
      <c r="Q23" s="50">
        <v>13</v>
      </c>
      <c r="R23" s="50">
        <v>13</v>
      </c>
      <c r="S23" s="50">
        <v>13</v>
      </c>
      <c r="T23" s="50">
        <v>13</v>
      </c>
      <c r="U23" s="50">
        <v>13</v>
      </c>
      <c r="V23" s="50">
        <v>13</v>
      </c>
      <c r="W23" s="50">
        <v>13</v>
      </c>
      <c r="X23" s="50">
        <v>13</v>
      </c>
      <c r="Y23" s="50">
        <v>13</v>
      </c>
      <c r="Z23" s="50">
        <v>13</v>
      </c>
      <c r="AA23" s="50">
        <v>13</v>
      </c>
      <c r="AB23" s="50">
        <v>13</v>
      </c>
      <c r="AC23" s="50">
        <v>13</v>
      </c>
      <c r="AD23" s="50">
        <v>13</v>
      </c>
      <c r="AE23" s="50">
        <v>13</v>
      </c>
      <c r="AF23" s="50">
        <v>13</v>
      </c>
      <c r="AG23" s="55">
        <v>25</v>
      </c>
      <c r="AH23" s="52">
        <f t="shared" si="2"/>
        <v>13</v>
      </c>
      <c r="AI23" s="53">
        <f t="shared" si="3"/>
        <v>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0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5">
        <v>25</v>
      </c>
      <c r="AH24" s="52">
        <f t="shared" si="2"/>
        <v>0</v>
      </c>
      <c r="AI24" s="53">
        <f t="shared" si="3"/>
        <v>0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5.9</v>
      </c>
      <c r="C26" s="50">
        <v>5.9</v>
      </c>
      <c r="D26" s="50">
        <v>5.9</v>
      </c>
      <c r="E26" s="50">
        <v>5.9</v>
      </c>
      <c r="F26" s="50">
        <v>5.9</v>
      </c>
      <c r="G26" s="50">
        <v>5.9</v>
      </c>
      <c r="H26" s="50">
        <v>5.9</v>
      </c>
      <c r="I26" s="50">
        <v>5.9</v>
      </c>
      <c r="J26" s="50">
        <v>5.9</v>
      </c>
      <c r="K26" s="50">
        <v>5.9</v>
      </c>
      <c r="L26" s="50">
        <v>5.9</v>
      </c>
      <c r="M26" s="50">
        <v>5.9</v>
      </c>
      <c r="N26" s="50">
        <v>5.9</v>
      </c>
      <c r="O26" s="50">
        <v>5.9</v>
      </c>
      <c r="P26" s="50">
        <v>5.9</v>
      </c>
      <c r="Q26" s="50">
        <v>5.9</v>
      </c>
      <c r="R26" s="50">
        <v>5.9</v>
      </c>
      <c r="S26" s="50">
        <v>5.9</v>
      </c>
      <c r="T26" s="50">
        <v>5.9</v>
      </c>
      <c r="U26" s="50">
        <v>5.9</v>
      </c>
      <c r="V26" s="50">
        <v>5.9</v>
      </c>
      <c r="W26" s="50">
        <v>5.9</v>
      </c>
      <c r="X26" s="50">
        <v>5.9</v>
      </c>
      <c r="Y26" s="50">
        <v>5.9</v>
      </c>
      <c r="Z26" s="50">
        <v>5.9</v>
      </c>
      <c r="AA26" s="50">
        <v>5.9</v>
      </c>
      <c r="AB26" s="50">
        <v>5.9</v>
      </c>
      <c r="AC26" s="50">
        <v>5.9</v>
      </c>
      <c r="AD26" s="50">
        <v>5.9</v>
      </c>
      <c r="AE26" s="50">
        <v>5.9</v>
      </c>
      <c r="AF26" s="50">
        <v>5.9</v>
      </c>
      <c r="AG26" s="55">
        <v>23.5</v>
      </c>
      <c r="AH26" s="52">
        <f t="shared" si="2"/>
        <v>5.9</v>
      </c>
      <c r="AI26" s="53">
        <f t="shared" si="3"/>
        <v>5.9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5">
        <v>22</v>
      </c>
      <c r="AH29" s="52">
        <f t="shared" si="2"/>
        <v>0</v>
      </c>
      <c r="AI29" s="53">
        <f t="shared" si="3"/>
        <v>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22.6</v>
      </c>
      <c r="C30" s="50">
        <v>22.6</v>
      </c>
      <c r="D30" s="50">
        <v>22.6</v>
      </c>
      <c r="E30" s="50">
        <v>22.6</v>
      </c>
      <c r="F30" s="50">
        <v>22.6</v>
      </c>
      <c r="G30" s="50">
        <v>22.6</v>
      </c>
      <c r="H30" s="50">
        <v>22.6</v>
      </c>
      <c r="I30" s="50">
        <v>22.6</v>
      </c>
      <c r="J30" s="50">
        <v>22.6</v>
      </c>
      <c r="K30" s="50">
        <v>22.6</v>
      </c>
      <c r="L30" s="50">
        <v>22.6</v>
      </c>
      <c r="M30" s="50">
        <v>13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5">
        <v>22</v>
      </c>
      <c r="AH30" s="52">
        <f t="shared" si="2"/>
        <v>22.6</v>
      </c>
      <c r="AI30" s="53">
        <f t="shared" si="3"/>
        <v>12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55">
        <v>20</v>
      </c>
      <c r="AH31" s="52">
        <f t="shared" si="2"/>
        <v>6</v>
      </c>
      <c r="AI31" s="53">
        <f t="shared" si="3"/>
        <v>6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>
        <v>4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8</v>
      </c>
      <c r="C33" s="50">
        <v>8</v>
      </c>
      <c r="D33" s="50">
        <v>8</v>
      </c>
      <c r="E33" s="50">
        <v>8</v>
      </c>
      <c r="F33" s="50">
        <v>8</v>
      </c>
      <c r="G33" s="50">
        <v>8</v>
      </c>
      <c r="H33" s="50">
        <v>8</v>
      </c>
      <c r="I33" s="50">
        <v>8</v>
      </c>
      <c r="J33" s="50">
        <v>8</v>
      </c>
      <c r="K33" s="50">
        <v>8</v>
      </c>
      <c r="L33" s="50">
        <v>8</v>
      </c>
      <c r="M33" s="50">
        <v>8.9</v>
      </c>
      <c r="N33" s="50">
        <v>8.9</v>
      </c>
      <c r="O33" s="50">
        <v>8.9</v>
      </c>
      <c r="P33" s="50">
        <v>8.9</v>
      </c>
      <c r="Q33" s="50">
        <v>8.9</v>
      </c>
      <c r="R33" s="50">
        <v>8.9</v>
      </c>
      <c r="S33" s="50">
        <v>8.9</v>
      </c>
      <c r="T33" s="50">
        <v>8.9</v>
      </c>
      <c r="U33" s="50">
        <v>8.9</v>
      </c>
      <c r="V33" s="50">
        <v>8.9</v>
      </c>
      <c r="W33" s="50">
        <v>8.9</v>
      </c>
      <c r="X33" s="50">
        <v>8.9</v>
      </c>
      <c r="Y33" s="50">
        <v>8.9</v>
      </c>
      <c r="Z33" s="50">
        <v>8.9</v>
      </c>
      <c r="AA33" s="50">
        <v>8.9</v>
      </c>
      <c r="AB33" s="50">
        <v>8.9</v>
      </c>
      <c r="AC33" s="50">
        <v>8.9</v>
      </c>
      <c r="AD33" s="50">
        <v>8.9</v>
      </c>
      <c r="AE33" s="50">
        <v>8.9</v>
      </c>
      <c r="AF33" s="50">
        <v>8.9</v>
      </c>
      <c r="AG33" s="55">
        <v>14.9</v>
      </c>
      <c r="AH33" s="52">
        <f t="shared" si="2"/>
        <v>8.9</v>
      </c>
      <c r="AI33" s="53">
        <f t="shared" si="3"/>
        <v>8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5.2</v>
      </c>
      <c r="C38" s="50">
        <v>5.2</v>
      </c>
      <c r="D38" s="50">
        <v>5.2</v>
      </c>
      <c r="E38" s="50">
        <v>5.2</v>
      </c>
      <c r="F38" s="50">
        <v>5.2</v>
      </c>
      <c r="G38" s="50">
        <v>5.2</v>
      </c>
      <c r="H38" s="50">
        <v>5.2</v>
      </c>
      <c r="I38" s="50">
        <v>5.2</v>
      </c>
      <c r="J38" s="50">
        <v>5.2</v>
      </c>
      <c r="K38" s="50">
        <v>5.2</v>
      </c>
      <c r="L38" s="50">
        <v>5.2</v>
      </c>
      <c r="M38" s="50">
        <v>5.2</v>
      </c>
      <c r="N38" s="50">
        <v>5.2</v>
      </c>
      <c r="O38" s="50">
        <v>5.2</v>
      </c>
      <c r="P38" s="50">
        <v>5.2</v>
      </c>
      <c r="Q38" s="50">
        <v>5.2</v>
      </c>
      <c r="R38" s="50">
        <v>5.2</v>
      </c>
      <c r="S38" s="50">
        <v>5.2</v>
      </c>
      <c r="T38" s="50">
        <v>5.2</v>
      </c>
      <c r="U38" s="50">
        <v>5.2</v>
      </c>
      <c r="V38" s="50">
        <v>5.2</v>
      </c>
      <c r="W38" s="50">
        <v>5.2</v>
      </c>
      <c r="X38" s="50">
        <v>5.2</v>
      </c>
      <c r="Y38" s="50">
        <v>5.2</v>
      </c>
      <c r="Z38" s="50">
        <v>5.2</v>
      </c>
      <c r="AA38" s="50">
        <v>5.2</v>
      </c>
      <c r="AB38" s="50">
        <v>5.2</v>
      </c>
      <c r="AC38" s="50">
        <v>5.2</v>
      </c>
      <c r="AD38" s="50">
        <v>5.2</v>
      </c>
      <c r="AE38" s="50">
        <v>5.2</v>
      </c>
      <c r="AF38" s="50">
        <v>5.2</v>
      </c>
      <c r="AG38" s="55">
        <v>12</v>
      </c>
      <c r="AH38" s="52">
        <f t="shared" si="2"/>
        <v>5.2</v>
      </c>
      <c r="AI38" s="53">
        <f t="shared" si="3"/>
        <v>5.2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50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3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140</v>
      </c>
      <c r="C46" s="63">
        <v>140</v>
      </c>
      <c r="D46" s="63">
        <v>140</v>
      </c>
      <c r="E46" s="63">
        <v>140</v>
      </c>
      <c r="F46" s="63">
        <v>140</v>
      </c>
      <c r="G46" s="63">
        <v>140</v>
      </c>
      <c r="H46" s="63">
        <v>140</v>
      </c>
      <c r="I46" s="63">
        <v>140</v>
      </c>
      <c r="J46" s="63">
        <v>140</v>
      </c>
      <c r="K46" s="63">
        <v>140</v>
      </c>
      <c r="L46" s="63">
        <v>140</v>
      </c>
      <c r="M46" s="63">
        <v>140</v>
      </c>
      <c r="N46" s="63">
        <v>140</v>
      </c>
      <c r="O46" s="63">
        <v>140</v>
      </c>
      <c r="P46" s="63">
        <v>140</v>
      </c>
      <c r="Q46" s="63">
        <v>140</v>
      </c>
      <c r="R46" s="63">
        <v>140</v>
      </c>
      <c r="S46" s="63">
        <v>140</v>
      </c>
      <c r="T46" s="63">
        <v>140</v>
      </c>
      <c r="U46" s="63">
        <v>140</v>
      </c>
      <c r="V46" s="63">
        <v>140</v>
      </c>
      <c r="W46" s="63">
        <v>140</v>
      </c>
      <c r="X46" s="63">
        <v>140</v>
      </c>
      <c r="Y46" s="63">
        <v>140</v>
      </c>
      <c r="Z46" s="63">
        <v>140</v>
      </c>
      <c r="AA46" s="63">
        <v>140</v>
      </c>
      <c r="AB46" s="63">
        <v>140</v>
      </c>
      <c r="AC46" s="63">
        <v>140</v>
      </c>
      <c r="AD46" s="63">
        <v>140</v>
      </c>
      <c r="AE46" s="63">
        <v>140</v>
      </c>
      <c r="AF46" s="63">
        <v>140</v>
      </c>
      <c r="AG46" s="61">
        <v>85</v>
      </c>
      <c r="AH46" s="52">
        <f t="shared" si="2"/>
        <v>140</v>
      </c>
      <c r="AI46" s="53">
        <f t="shared" si="3"/>
        <v>140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>SUM(B11:B46)</f>
        <v>468.6</v>
      </c>
      <c r="C48" s="67">
        <f t="shared" ref="C48:AF48" si="4">SUM(C11:C46)</f>
        <v>468.6</v>
      </c>
      <c r="D48" s="67">
        <f t="shared" si="4"/>
        <v>468.6</v>
      </c>
      <c r="E48" s="67">
        <f t="shared" si="4"/>
        <v>468.6</v>
      </c>
      <c r="F48" s="67">
        <f t="shared" si="4"/>
        <v>468.6</v>
      </c>
      <c r="G48" s="67">
        <f t="shared" si="4"/>
        <v>468.6</v>
      </c>
      <c r="H48" s="67">
        <f t="shared" si="4"/>
        <v>468.6</v>
      </c>
      <c r="I48" s="67">
        <f t="shared" si="4"/>
        <v>449.7</v>
      </c>
      <c r="J48" s="67">
        <f t="shared" si="4"/>
        <v>449.7</v>
      </c>
      <c r="K48" s="67">
        <f t="shared" si="4"/>
        <v>449.7</v>
      </c>
      <c r="L48" s="67">
        <f t="shared" si="4"/>
        <v>449.7</v>
      </c>
      <c r="M48" s="67">
        <f t="shared" si="4"/>
        <v>439.09999999999997</v>
      </c>
      <c r="N48" s="67">
        <f t="shared" si="4"/>
        <v>438.09999999999997</v>
      </c>
      <c r="O48" s="67">
        <f t="shared" si="4"/>
        <v>435.69999999999993</v>
      </c>
      <c r="P48" s="67">
        <f t="shared" si="4"/>
        <v>422.8</v>
      </c>
      <c r="Q48" s="67">
        <f t="shared" si="4"/>
        <v>422.8</v>
      </c>
      <c r="R48" s="67">
        <f t="shared" si="4"/>
        <v>422.8</v>
      </c>
      <c r="S48" s="67">
        <f t="shared" si="4"/>
        <v>422.8</v>
      </c>
      <c r="T48" s="67">
        <f t="shared" si="4"/>
        <v>422.8</v>
      </c>
      <c r="U48" s="67">
        <f t="shared" si="4"/>
        <v>422.8</v>
      </c>
      <c r="V48" s="67">
        <f t="shared" si="4"/>
        <v>422.8</v>
      </c>
      <c r="W48" s="67">
        <f t="shared" ref="W48" si="5">SUM(W11:W46)</f>
        <v>422.8</v>
      </c>
      <c r="X48" s="67">
        <f t="shared" si="4"/>
        <v>422.8</v>
      </c>
      <c r="Y48" s="67">
        <f t="shared" ref="Y48" si="6">SUM(Y11:Y46)</f>
        <v>422.8</v>
      </c>
      <c r="Z48" s="67">
        <f t="shared" si="4"/>
        <v>422.8</v>
      </c>
      <c r="AA48" s="67">
        <v>402.79999999999995</v>
      </c>
      <c r="AB48" s="67">
        <f t="shared" si="4"/>
        <v>420.40000000000003</v>
      </c>
      <c r="AC48" s="67">
        <f t="shared" si="4"/>
        <v>420.40000000000003</v>
      </c>
      <c r="AD48" s="67">
        <f t="shared" si="4"/>
        <v>420.40000000000003</v>
      </c>
      <c r="AE48" s="67">
        <f t="shared" si="4"/>
        <v>420.40000000000003</v>
      </c>
      <c r="AF48" s="67">
        <f t="shared" si="4"/>
        <v>420.40000000000003</v>
      </c>
      <c r="AG48" s="68">
        <f t="shared" ref="AG48" si="7">SUM(AG12:AG46)</f>
        <v>875.68</v>
      </c>
      <c r="AH48" s="52">
        <f t="shared" si="2"/>
        <v>468.6</v>
      </c>
      <c r="AI48" s="53">
        <f t="shared" si="3"/>
        <v>402.79999999999995</v>
      </c>
      <c r="AK48" s="54"/>
    </row>
    <row r="49" spans="1:41" x14ac:dyDescent="0.25">
      <c r="A49" s="69" t="s">
        <v>57</v>
      </c>
      <c r="B49" s="50">
        <v>130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  <c r="Q49" s="50">
        <v>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20</v>
      </c>
      <c r="Z49" s="50">
        <v>76</v>
      </c>
      <c r="AA49" s="50">
        <v>120</v>
      </c>
      <c r="AB49" s="50">
        <v>90</v>
      </c>
      <c r="AC49" s="50">
        <v>70</v>
      </c>
      <c r="AD49" s="50">
        <v>70</v>
      </c>
      <c r="AE49" s="50">
        <v>60</v>
      </c>
      <c r="AF49" s="50">
        <v>60</v>
      </c>
      <c r="AG49" s="56">
        <v>456</v>
      </c>
      <c r="AH49" s="52">
        <f t="shared" si="2"/>
        <v>130</v>
      </c>
      <c r="AI49" s="53">
        <f t="shared" si="3"/>
        <v>0</v>
      </c>
      <c r="AK49" s="54"/>
    </row>
    <row r="50" spans="1:41" x14ac:dyDescent="0.25">
      <c r="A50" s="71" t="s">
        <v>58</v>
      </c>
      <c r="B50" s="72">
        <v>42</v>
      </c>
      <c r="C50" s="72">
        <v>42</v>
      </c>
      <c r="D50" s="72">
        <v>42</v>
      </c>
      <c r="E50" s="72">
        <v>42</v>
      </c>
      <c r="F50" s="72">
        <v>42</v>
      </c>
      <c r="G50" s="72">
        <v>44.4</v>
      </c>
      <c r="H50" s="72">
        <v>44.4</v>
      </c>
      <c r="I50" s="72">
        <v>44.4</v>
      </c>
      <c r="J50" s="72">
        <v>44.4</v>
      </c>
      <c r="K50" s="72">
        <v>44.4</v>
      </c>
      <c r="L50" s="72">
        <v>44.4</v>
      </c>
      <c r="M50" s="72">
        <v>44.4</v>
      </c>
      <c r="N50" s="72">
        <v>44.4</v>
      </c>
      <c r="O50" s="72">
        <v>44</v>
      </c>
      <c r="P50" s="72">
        <v>44</v>
      </c>
      <c r="Q50" s="72">
        <v>44</v>
      </c>
      <c r="R50" s="72">
        <v>44</v>
      </c>
      <c r="S50" s="72">
        <v>44</v>
      </c>
      <c r="T50" s="72">
        <v>44</v>
      </c>
      <c r="U50" s="72">
        <v>44</v>
      </c>
      <c r="V50" s="72">
        <v>44</v>
      </c>
      <c r="W50" s="72">
        <v>44</v>
      </c>
      <c r="X50" s="72">
        <v>44</v>
      </c>
      <c r="Y50" s="72">
        <v>44</v>
      </c>
      <c r="Z50" s="72">
        <v>44</v>
      </c>
      <c r="AA50" s="72">
        <v>44</v>
      </c>
      <c r="AB50" s="72">
        <v>44</v>
      </c>
      <c r="AC50" s="72">
        <v>44</v>
      </c>
      <c r="AD50" s="72">
        <v>44</v>
      </c>
      <c r="AE50" s="72">
        <v>44</v>
      </c>
      <c r="AF50" s="72">
        <v>44</v>
      </c>
      <c r="AG50" s="61">
        <v>60</v>
      </c>
      <c r="AH50" s="52">
        <f t="shared" si="2"/>
        <v>44.4</v>
      </c>
      <c r="AI50" s="53">
        <f t="shared" si="3"/>
        <v>42</v>
      </c>
      <c r="AK50" s="54"/>
    </row>
    <row r="51" spans="1:41" ht="15.75" thickBot="1" x14ac:dyDescent="0.3">
      <c r="A51" s="73" t="s">
        <v>59</v>
      </c>
      <c r="B51" s="74">
        <v>11.7</v>
      </c>
      <c r="C51" s="74">
        <v>11.7</v>
      </c>
      <c r="D51" s="74">
        <v>11.7</v>
      </c>
      <c r="E51" s="74">
        <v>11.7</v>
      </c>
      <c r="F51" s="74">
        <v>11.7</v>
      </c>
      <c r="G51" s="74">
        <v>11.7</v>
      </c>
      <c r="H51" s="74">
        <v>11.6</v>
      </c>
      <c r="I51" s="74">
        <v>11.6</v>
      </c>
      <c r="J51" s="74">
        <v>11.7</v>
      </c>
      <c r="K51" s="74">
        <v>11.7</v>
      </c>
      <c r="L51" s="74">
        <v>11.7</v>
      </c>
      <c r="M51" s="74">
        <v>11.7</v>
      </c>
      <c r="N51" s="74">
        <v>11.7</v>
      </c>
      <c r="O51" s="74">
        <v>11.6</v>
      </c>
      <c r="P51" s="74">
        <v>11.6</v>
      </c>
      <c r="Q51" s="74">
        <v>11.6</v>
      </c>
      <c r="R51" s="74">
        <v>11.6</v>
      </c>
      <c r="S51" s="74">
        <v>11.6</v>
      </c>
      <c r="T51" s="74">
        <v>11.6</v>
      </c>
      <c r="U51" s="74">
        <v>11.6</v>
      </c>
      <c r="V51" s="74">
        <v>11.6</v>
      </c>
      <c r="W51" s="74">
        <v>11.6</v>
      </c>
      <c r="X51" s="74">
        <v>11.6</v>
      </c>
      <c r="Y51" s="74">
        <v>11.6</v>
      </c>
      <c r="Z51" s="74">
        <v>11.6</v>
      </c>
      <c r="AA51" s="74">
        <v>11.6</v>
      </c>
      <c r="AB51" s="74">
        <v>11.7</v>
      </c>
      <c r="AC51" s="74">
        <v>11.7</v>
      </c>
      <c r="AD51" s="74">
        <v>11.7</v>
      </c>
      <c r="AE51" s="74">
        <v>11.7</v>
      </c>
      <c r="AF51" s="74">
        <v>11.7</v>
      </c>
      <c r="AG51" s="75">
        <v>22.1</v>
      </c>
      <c r="AH51" s="52">
        <f t="shared" si="2"/>
        <v>11.7</v>
      </c>
      <c r="AI51" s="53">
        <f t="shared" si="3"/>
        <v>11.6</v>
      </c>
      <c r="AK51" s="54"/>
    </row>
    <row r="52" spans="1:41" ht="15.75" thickBot="1" x14ac:dyDescent="0.3">
      <c r="A52" s="76" t="s">
        <v>60</v>
      </c>
      <c r="B52" s="67">
        <f t="shared" ref="B52:AG52" si="8">SUM(B49:B51)</f>
        <v>183.7</v>
      </c>
      <c r="C52" s="67">
        <f t="shared" si="8"/>
        <v>53.7</v>
      </c>
      <c r="D52" s="67">
        <f t="shared" si="8"/>
        <v>53.7</v>
      </c>
      <c r="E52" s="67">
        <f t="shared" si="8"/>
        <v>53.7</v>
      </c>
      <c r="F52" s="67">
        <f t="shared" si="8"/>
        <v>53.7</v>
      </c>
      <c r="G52" s="67">
        <f t="shared" si="8"/>
        <v>56.099999999999994</v>
      </c>
      <c r="H52" s="67">
        <f t="shared" si="8"/>
        <v>56</v>
      </c>
      <c r="I52" s="67">
        <f t="shared" si="8"/>
        <v>56</v>
      </c>
      <c r="J52" s="67">
        <f t="shared" si="8"/>
        <v>56.099999999999994</v>
      </c>
      <c r="K52" s="67">
        <f t="shared" si="8"/>
        <v>56.099999999999994</v>
      </c>
      <c r="L52" s="67">
        <f t="shared" si="8"/>
        <v>56.099999999999994</v>
      </c>
      <c r="M52" s="67">
        <f t="shared" si="8"/>
        <v>56.099999999999994</v>
      </c>
      <c r="N52" s="67">
        <f t="shared" si="8"/>
        <v>56.099999999999994</v>
      </c>
      <c r="O52" s="67">
        <f t="shared" si="8"/>
        <v>55.6</v>
      </c>
      <c r="P52" s="67">
        <f t="shared" si="8"/>
        <v>55.6</v>
      </c>
      <c r="Q52" s="67">
        <f t="shared" si="8"/>
        <v>55.6</v>
      </c>
      <c r="R52" s="67">
        <f t="shared" si="8"/>
        <v>55.6</v>
      </c>
      <c r="S52" s="67">
        <f t="shared" si="8"/>
        <v>55.6</v>
      </c>
      <c r="T52" s="67">
        <f t="shared" si="8"/>
        <v>55.6</v>
      </c>
      <c r="U52" s="67">
        <f t="shared" si="8"/>
        <v>55.6</v>
      </c>
      <c r="V52" s="67">
        <f t="shared" si="8"/>
        <v>55.6</v>
      </c>
      <c r="W52" s="67">
        <f t="shared" si="8"/>
        <v>55.6</v>
      </c>
      <c r="X52" s="67">
        <f t="shared" si="8"/>
        <v>55.6</v>
      </c>
      <c r="Y52" s="67">
        <f t="shared" ref="Y52" si="9">SUM(Y49:Y51)</f>
        <v>75.599999999999994</v>
      </c>
      <c r="Z52" s="67">
        <f t="shared" si="8"/>
        <v>131.6</v>
      </c>
      <c r="AA52" s="67">
        <v>170.6</v>
      </c>
      <c r="AB52" s="67">
        <f t="shared" si="8"/>
        <v>145.69999999999999</v>
      </c>
      <c r="AC52" s="67">
        <f t="shared" si="8"/>
        <v>125.7</v>
      </c>
      <c r="AD52" s="67">
        <f t="shared" si="8"/>
        <v>125.7</v>
      </c>
      <c r="AE52" s="67">
        <f t="shared" si="8"/>
        <v>115.7</v>
      </c>
      <c r="AF52" s="67">
        <f t="shared" si="8"/>
        <v>115.7</v>
      </c>
      <c r="AG52" s="68">
        <f t="shared" si="8"/>
        <v>538.1</v>
      </c>
      <c r="AH52" s="52">
        <f t="shared" si="2"/>
        <v>183.7</v>
      </c>
      <c r="AI52" s="53">
        <f t="shared" si="3"/>
        <v>53.7</v>
      </c>
      <c r="AK52" s="54"/>
    </row>
    <row r="53" spans="1:41" x14ac:dyDescent="0.25">
      <c r="A53" s="49" t="s">
        <v>61</v>
      </c>
      <c r="B53" s="50">
        <v>60</v>
      </c>
      <c r="C53" s="50">
        <v>36.299999999999997</v>
      </c>
      <c r="D53" s="50">
        <v>35.4</v>
      </c>
      <c r="E53" s="50">
        <v>30.4</v>
      </c>
      <c r="F53" s="50">
        <v>35</v>
      </c>
      <c r="G53" s="50">
        <v>40.5</v>
      </c>
      <c r="H53" s="50">
        <v>40.4</v>
      </c>
      <c r="I53" s="50">
        <v>61.1</v>
      </c>
      <c r="J53" s="50">
        <v>60.8</v>
      </c>
      <c r="K53" s="50">
        <v>81</v>
      </c>
      <c r="L53" s="50">
        <v>90</v>
      </c>
      <c r="M53" s="50">
        <v>90</v>
      </c>
      <c r="N53" s="50">
        <v>60</v>
      </c>
      <c r="O53" s="50">
        <v>61</v>
      </c>
      <c r="P53" s="50">
        <v>92.1</v>
      </c>
      <c r="Q53" s="50">
        <v>92.1</v>
      </c>
      <c r="R53" s="50">
        <v>112.5</v>
      </c>
      <c r="S53" s="50">
        <v>144</v>
      </c>
      <c r="T53" s="50">
        <v>133.6</v>
      </c>
      <c r="U53" s="50">
        <v>91</v>
      </c>
      <c r="V53" s="50">
        <v>70</v>
      </c>
      <c r="W53" s="50">
        <v>61</v>
      </c>
      <c r="X53" s="50">
        <v>61</v>
      </c>
      <c r="Y53" s="50">
        <v>80</v>
      </c>
      <c r="Z53" s="50">
        <v>121.6</v>
      </c>
      <c r="AA53" s="50">
        <v>121.8</v>
      </c>
      <c r="AB53" s="50">
        <v>111.3</v>
      </c>
      <c r="AC53" s="50">
        <v>95</v>
      </c>
      <c r="AD53" s="50">
        <v>80</v>
      </c>
      <c r="AE53" s="50">
        <v>60</v>
      </c>
      <c r="AF53" s="50">
        <v>60</v>
      </c>
      <c r="AG53" s="56">
        <v>144</v>
      </c>
      <c r="AH53" s="52">
        <f t="shared" si="2"/>
        <v>144</v>
      </c>
      <c r="AI53" s="53">
        <f t="shared" si="3"/>
        <v>30.4</v>
      </c>
      <c r="AK53" s="54"/>
    </row>
    <row r="54" spans="1:41" x14ac:dyDescent="0.25">
      <c r="A54" s="60" t="s">
        <v>62</v>
      </c>
      <c r="B54" s="72">
        <v>50.1</v>
      </c>
      <c r="C54" s="72">
        <v>24</v>
      </c>
      <c r="D54" s="72">
        <v>25.4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23</v>
      </c>
      <c r="K54" s="72">
        <v>22.9</v>
      </c>
      <c r="L54" s="72">
        <v>22.9</v>
      </c>
      <c r="M54" s="72">
        <v>46</v>
      </c>
      <c r="N54" s="72">
        <v>28</v>
      </c>
      <c r="O54" s="72">
        <v>35</v>
      </c>
      <c r="P54" s="72">
        <v>54.6</v>
      </c>
      <c r="Q54" s="72">
        <v>64</v>
      </c>
      <c r="R54" s="72">
        <v>59.5</v>
      </c>
      <c r="S54" s="72">
        <v>62.3</v>
      </c>
      <c r="T54" s="72">
        <v>48.8</v>
      </c>
      <c r="U54" s="50">
        <v>47</v>
      </c>
      <c r="V54" s="50">
        <v>24</v>
      </c>
      <c r="W54" s="50">
        <v>35</v>
      </c>
      <c r="X54" s="50">
        <v>23.5</v>
      </c>
      <c r="Y54" s="50">
        <v>23.5</v>
      </c>
      <c r="Z54" s="50">
        <v>50.5</v>
      </c>
      <c r="AA54" s="50">
        <v>51.5</v>
      </c>
      <c r="AB54" s="72">
        <v>35.200000000000003</v>
      </c>
      <c r="AC54" s="72">
        <v>35.200000000000003</v>
      </c>
      <c r="AD54" s="72">
        <v>23.3</v>
      </c>
      <c r="AE54" s="72">
        <v>23.3</v>
      </c>
      <c r="AF54" s="72">
        <v>34</v>
      </c>
      <c r="AG54" s="61">
        <v>70</v>
      </c>
      <c r="AH54" s="52">
        <f t="shared" si="2"/>
        <v>64</v>
      </c>
      <c r="AI54" s="53">
        <f t="shared" si="3"/>
        <v>0</v>
      </c>
      <c r="AK54" s="54"/>
    </row>
    <row r="55" spans="1:41" x14ac:dyDescent="0.25">
      <c r="A55" s="60" t="s">
        <v>63</v>
      </c>
      <c r="B55" s="72">
        <v>51.6</v>
      </c>
      <c r="C55" s="72">
        <v>0</v>
      </c>
      <c r="D55" s="72">
        <v>0</v>
      </c>
      <c r="E55" s="72">
        <v>0</v>
      </c>
      <c r="F55" s="72">
        <v>18.600000000000001</v>
      </c>
      <c r="G55" s="72">
        <v>18.100000000000001</v>
      </c>
      <c r="H55" s="72">
        <v>45</v>
      </c>
      <c r="I55" s="72">
        <v>31.6</v>
      </c>
      <c r="J55" s="72">
        <v>41.5</v>
      </c>
      <c r="K55" s="72">
        <v>57.7</v>
      </c>
      <c r="L55" s="72">
        <v>59</v>
      </c>
      <c r="M55" s="72">
        <v>52</v>
      </c>
      <c r="N55" s="72">
        <v>33</v>
      </c>
      <c r="O55" s="72">
        <v>40.4</v>
      </c>
      <c r="P55" s="72">
        <v>40.299999999999997</v>
      </c>
      <c r="Q55" s="72">
        <v>45.5</v>
      </c>
      <c r="R55" s="72">
        <v>33.799999999999997</v>
      </c>
      <c r="S55" s="72">
        <v>43</v>
      </c>
      <c r="T55" s="72">
        <v>35.9</v>
      </c>
      <c r="U55" s="50">
        <v>21</v>
      </c>
      <c r="V55" s="50">
        <v>23</v>
      </c>
      <c r="W55" s="50">
        <v>34</v>
      </c>
      <c r="X55" s="50">
        <v>34.200000000000003</v>
      </c>
      <c r="Y55" s="50">
        <v>56</v>
      </c>
      <c r="Z55" s="50">
        <v>70</v>
      </c>
      <c r="AA55" s="50">
        <v>69.900000000000006</v>
      </c>
      <c r="AB55" s="72">
        <v>52.2</v>
      </c>
      <c r="AC55" s="72">
        <v>36</v>
      </c>
      <c r="AD55" s="72">
        <v>32.700000000000003</v>
      </c>
      <c r="AE55" s="72">
        <v>32.700000000000003</v>
      </c>
      <c r="AF55" s="72">
        <v>46.2</v>
      </c>
      <c r="AG55" s="61">
        <v>69</v>
      </c>
      <c r="AH55" s="52">
        <f t="shared" si="2"/>
        <v>70</v>
      </c>
      <c r="AI55" s="53">
        <f t="shared" si="3"/>
        <v>0</v>
      </c>
      <c r="AK55" s="54"/>
    </row>
    <row r="56" spans="1:41" x14ac:dyDescent="0.25">
      <c r="A56" s="60" t="s">
        <v>64</v>
      </c>
      <c r="B56" s="72">
        <v>50</v>
      </c>
      <c r="C56" s="72">
        <v>50</v>
      </c>
      <c r="D56" s="72">
        <v>50.1</v>
      </c>
      <c r="E56" s="63">
        <v>48.1</v>
      </c>
      <c r="F56" s="63">
        <v>41.8</v>
      </c>
      <c r="G56" s="63">
        <v>44.4</v>
      </c>
      <c r="H56" s="63">
        <v>46.4</v>
      </c>
      <c r="I56" s="63">
        <v>46.4</v>
      </c>
      <c r="J56" s="63">
        <v>44.6</v>
      </c>
      <c r="K56" s="63">
        <v>40.299999999999997</v>
      </c>
      <c r="L56" s="63">
        <v>40.299999999999997</v>
      </c>
      <c r="M56" s="63">
        <v>41.3</v>
      </c>
      <c r="N56" s="63">
        <v>41.3</v>
      </c>
      <c r="O56" s="72">
        <v>41.8</v>
      </c>
      <c r="P56" s="72">
        <v>41.8</v>
      </c>
      <c r="Q56" s="72">
        <v>41.8</v>
      </c>
      <c r="R56" s="72">
        <v>41.8</v>
      </c>
      <c r="S56" s="72">
        <v>39.799999999999997</v>
      </c>
      <c r="T56" s="72">
        <v>39.799999999999997</v>
      </c>
      <c r="U56" s="50">
        <v>40.299999999999997</v>
      </c>
      <c r="V56" s="50">
        <v>40.299999999999997</v>
      </c>
      <c r="W56" s="50">
        <v>42.3</v>
      </c>
      <c r="X56" s="50">
        <v>42.3</v>
      </c>
      <c r="Y56" s="50">
        <v>42.3</v>
      </c>
      <c r="Z56" s="50">
        <v>42.1</v>
      </c>
      <c r="AA56" s="50">
        <v>40.1</v>
      </c>
      <c r="AB56" s="72">
        <v>40</v>
      </c>
      <c r="AC56" s="72">
        <v>40</v>
      </c>
      <c r="AD56" s="72">
        <v>40</v>
      </c>
      <c r="AE56" s="72">
        <v>40</v>
      </c>
      <c r="AF56" s="72">
        <v>40</v>
      </c>
      <c r="AG56" s="61">
        <v>60</v>
      </c>
      <c r="AH56" s="52">
        <f t="shared" si="2"/>
        <v>50.1</v>
      </c>
      <c r="AI56" s="53">
        <f t="shared" si="3"/>
        <v>39.799999999999997</v>
      </c>
      <c r="AK56" s="54"/>
    </row>
    <row r="57" spans="1:41" x14ac:dyDescent="0.25">
      <c r="A57" s="60" t="s">
        <v>65</v>
      </c>
      <c r="B57" s="72">
        <v>13</v>
      </c>
      <c r="C57" s="72">
        <v>13</v>
      </c>
      <c r="D57" s="72">
        <v>12</v>
      </c>
      <c r="E57" s="63">
        <v>12</v>
      </c>
      <c r="F57" s="63">
        <v>12.2</v>
      </c>
      <c r="G57" s="63">
        <v>0</v>
      </c>
      <c r="H57" s="63">
        <v>0</v>
      </c>
      <c r="I57" s="63">
        <v>10</v>
      </c>
      <c r="J57" s="63">
        <v>10</v>
      </c>
      <c r="K57" s="63">
        <v>15.1</v>
      </c>
      <c r="L57" s="63">
        <v>15.1</v>
      </c>
      <c r="M57" s="63">
        <v>15.1</v>
      </c>
      <c r="N57" s="63">
        <v>13</v>
      </c>
      <c r="O57" s="72">
        <v>13</v>
      </c>
      <c r="P57" s="72">
        <v>15</v>
      </c>
      <c r="Q57" s="72">
        <v>15</v>
      </c>
      <c r="R57" s="72">
        <v>19</v>
      </c>
      <c r="S57" s="72">
        <v>21.5</v>
      </c>
      <c r="T57" s="72">
        <v>21.5</v>
      </c>
      <c r="U57" s="50">
        <v>9</v>
      </c>
      <c r="V57" s="50">
        <v>9</v>
      </c>
      <c r="W57" s="50">
        <v>9</v>
      </c>
      <c r="X57" s="50">
        <v>15</v>
      </c>
      <c r="Y57" s="50">
        <v>15</v>
      </c>
      <c r="Z57" s="50">
        <v>15</v>
      </c>
      <c r="AA57" s="50">
        <v>25</v>
      </c>
      <c r="AB57" s="72">
        <v>22.7</v>
      </c>
      <c r="AC57" s="72">
        <v>14.6</v>
      </c>
      <c r="AD57" s="72">
        <v>14.6</v>
      </c>
      <c r="AE57" s="72">
        <v>14.6</v>
      </c>
      <c r="AF57" s="72">
        <v>14.6</v>
      </c>
      <c r="AG57" s="61">
        <v>30</v>
      </c>
      <c r="AH57" s="52">
        <f t="shared" si="2"/>
        <v>25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0.3</v>
      </c>
      <c r="J58" s="50">
        <v>0.9</v>
      </c>
      <c r="K58" s="50">
        <v>3.2</v>
      </c>
      <c r="L58" s="50">
        <v>4.5</v>
      </c>
      <c r="M58" s="50">
        <v>4.5</v>
      </c>
      <c r="N58" s="50">
        <v>4.5</v>
      </c>
      <c r="O58" s="72">
        <v>6.5</v>
      </c>
      <c r="P58" s="72">
        <v>8.8000000000000007</v>
      </c>
      <c r="Q58" s="72">
        <v>8.8000000000000007</v>
      </c>
      <c r="R58" s="72">
        <v>8.8000000000000007</v>
      </c>
      <c r="S58" s="72">
        <v>8.8000000000000007</v>
      </c>
      <c r="T58" s="72">
        <v>8.8000000000000007</v>
      </c>
      <c r="U58" s="72">
        <v>8.8000000000000007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1">
        <v>25</v>
      </c>
      <c r="AH58" s="52">
        <f t="shared" si="2"/>
        <v>8.8000000000000007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15</v>
      </c>
      <c r="C59" s="72">
        <v>15</v>
      </c>
      <c r="D59" s="72">
        <v>15</v>
      </c>
      <c r="E59" s="72">
        <v>15</v>
      </c>
      <c r="F59" s="72">
        <v>15</v>
      </c>
      <c r="G59" s="72">
        <v>15</v>
      </c>
      <c r="H59" s="72">
        <v>15</v>
      </c>
      <c r="I59" s="72">
        <v>15</v>
      </c>
      <c r="J59" s="72">
        <v>15</v>
      </c>
      <c r="K59" s="72">
        <v>15</v>
      </c>
      <c r="L59" s="72">
        <v>15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15</v>
      </c>
      <c r="S59" s="72">
        <v>15</v>
      </c>
      <c r="T59" s="72">
        <v>15</v>
      </c>
      <c r="U59" s="72">
        <v>15</v>
      </c>
      <c r="V59" s="72">
        <v>15</v>
      </c>
      <c r="W59" s="72">
        <v>15</v>
      </c>
      <c r="X59" s="72">
        <v>15</v>
      </c>
      <c r="Y59" s="72">
        <v>15</v>
      </c>
      <c r="Z59" s="72">
        <v>15</v>
      </c>
      <c r="AA59" s="72">
        <v>15</v>
      </c>
      <c r="AB59" s="72">
        <v>12</v>
      </c>
      <c r="AC59" s="72">
        <v>12</v>
      </c>
      <c r="AD59" s="72">
        <v>12</v>
      </c>
      <c r="AE59" s="72">
        <v>12</v>
      </c>
      <c r="AF59" s="72">
        <v>12</v>
      </c>
      <c r="AG59" s="61">
        <v>24</v>
      </c>
      <c r="AH59" s="52">
        <f t="shared" si="2"/>
        <v>15</v>
      </c>
      <c r="AI59" s="53">
        <f t="shared" si="3"/>
        <v>12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8.8000000000000007</v>
      </c>
      <c r="C61" s="72">
        <v>8.8000000000000007</v>
      </c>
      <c r="D61" s="72">
        <v>8.8000000000000007</v>
      </c>
      <c r="E61" s="72">
        <v>8.8000000000000007</v>
      </c>
      <c r="F61" s="72">
        <v>8.8000000000000007</v>
      </c>
      <c r="G61" s="72">
        <v>8.8000000000000007</v>
      </c>
      <c r="H61" s="72">
        <v>8.8000000000000007</v>
      </c>
      <c r="I61" s="72">
        <v>8.8000000000000007</v>
      </c>
      <c r="J61" s="72">
        <v>8.8000000000000007</v>
      </c>
      <c r="K61" s="72">
        <v>8.8000000000000007</v>
      </c>
      <c r="L61" s="72">
        <v>8.8000000000000007</v>
      </c>
      <c r="M61" s="72">
        <v>8.8000000000000007</v>
      </c>
      <c r="N61" s="72">
        <v>8.8000000000000007</v>
      </c>
      <c r="O61" s="72">
        <v>9.8000000000000007</v>
      </c>
      <c r="P61" s="72">
        <v>9.8000000000000007</v>
      </c>
      <c r="Q61" s="72">
        <v>9.8000000000000007</v>
      </c>
      <c r="R61" s="72">
        <v>9.8000000000000007</v>
      </c>
      <c r="S61" s="72">
        <v>9.8000000000000007</v>
      </c>
      <c r="T61" s="72">
        <v>9.8000000000000007</v>
      </c>
      <c r="U61" s="72">
        <v>9.8000000000000007</v>
      </c>
      <c r="V61" s="72">
        <v>9.8000000000000007</v>
      </c>
      <c r="W61" s="72">
        <v>9.8000000000000007</v>
      </c>
      <c r="X61" s="72">
        <v>9.8000000000000007</v>
      </c>
      <c r="Y61" s="72">
        <v>9.8000000000000007</v>
      </c>
      <c r="Z61" s="72">
        <v>9.8000000000000007</v>
      </c>
      <c r="AA61" s="72">
        <v>9.8000000000000007</v>
      </c>
      <c r="AB61" s="72">
        <v>9.6999999999999993</v>
      </c>
      <c r="AC61" s="72">
        <v>9.6999999999999993</v>
      </c>
      <c r="AD61" s="72">
        <v>9.6999999999999993</v>
      </c>
      <c r="AE61" s="72">
        <v>9.6999999999999993</v>
      </c>
      <c r="AF61" s="72">
        <v>9.6999999999999993</v>
      </c>
      <c r="AG61" s="61">
        <v>14.1</v>
      </c>
      <c r="AH61" s="52">
        <f t="shared" si="2"/>
        <v>9.8000000000000007</v>
      </c>
      <c r="AI61" s="53">
        <f t="shared" si="3"/>
        <v>8.8000000000000007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6</v>
      </c>
      <c r="C62" s="72">
        <v>6</v>
      </c>
      <c r="D62" s="72">
        <v>6</v>
      </c>
      <c r="E62" s="72">
        <v>6</v>
      </c>
      <c r="F62" s="72">
        <v>6</v>
      </c>
      <c r="G62" s="72">
        <v>6</v>
      </c>
      <c r="H62" s="72">
        <v>6</v>
      </c>
      <c r="I62" s="72">
        <v>6</v>
      </c>
      <c r="J62" s="72">
        <v>6</v>
      </c>
      <c r="K62" s="72">
        <v>6</v>
      </c>
      <c r="L62" s="72">
        <v>6</v>
      </c>
      <c r="M62" s="72">
        <v>6</v>
      </c>
      <c r="N62" s="72">
        <v>6</v>
      </c>
      <c r="O62" s="72">
        <v>6.8</v>
      </c>
      <c r="P62" s="72">
        <v>6.8</v>
      </c>
      <c r="Q62" s="72">
        <v>6.8</v>
      </c>
      <c r="R62" s="72">
        <v>6.8</v>
      </c>
      <c r="S62" s="72">
        <v>6.8</v>
      </c>
      <c r="T62" s="72">
        <v>6.8</v>
      </c>
      <c r="U62" s="72">
        <v>6.8</v>
      </c>
      <c r="V62" s="72">
        <v>6.8</v>
      </c>
      <c r="W62" s="72">
        <v>6.8</v>
      </c>
      <c r="X62" s="72">
        <v>6.8</v>
      </c>
      <c r="Y62" s="72">
        <v>6.8</v>
      </c>
      <c r="Z62" s="72">
        <v>6.8</v>
      </c>
      <c r="AA62" s="72">
        <v>6.8</v>
      </c>
      <c r="AB62" s="72">
        <v>6.8</v>
      </c>
      <c r="AC62" s="72">
        <v>6.8</v>
      </c>
      <c r="AD62" s="72">
        <v>6.8</v>
      </c>
      <c r="AE62" s="72">
        <v>6.8</v>
      </c>
      <c r="AF62" s="72">
        <v>6.8</v>
      </c>
      <c r="AG62" s="61">
        <v>14</v>
      </c>
      <c r="AH62" s="52">
        <f t="shared" si="2"/>
        <v>6.8</v>
      </c>
      <c r="AI62" s="53">
        <f t="shared" si="3"/>
        <v>6</v>
      </c>
      <c r="AK62" s="54"/>
    </row>
    <row r="63" spans="1:41" x14ac:dyDescent="0.25">
      <c r="A63" s="60" t="s">
        <v>71</v>
      </c>
      <c r="B63" s="72">
        <v>3</v>
      </c>
      <c r="C63" s="72">
        <v>3</v>
      </c>
      <c r="D63" s="72">
        <v>3</v>
      </c>
      <c r="E63" s="72">
        <v>3</v>
      </c>
      <c r="F63" s="72">
        <v>3</v>
      </c>
      <c r="G63" s="72">
        <v>3</v>
      </c>
      <c r="H63" s="72">
        <v>3</v>
      </c>
      <c r="I63" s="72">
        <v>3</v>
      </c>
      <c r="J63" s="72">
        <v>3</v>
      </c>
      <c r="K63" s="72">
        <v>3</v>
      </c>
      <c r="L63" s="72">
        <v>3</v>
      </c>
      <c r="M63" s="72">
        <v>3</v>
      </c>
      <c r="N63" s="72">
        <v>3</v>
      </c>
      <c r="O63" s="72">
        <v>3</v>
      </c>
      <c r="P63" s="72">
        <v>3</v>
      </c>
      <c r="Q63" s="72">
        <v>3</v>
      </c>
      <c r="R63" s="72">
        <v>3</v>
      </c>
      <c r="S63" s="72">
        <v>3</v>
      </c>
      <c r="T63" s="72">
        <v>3</v>
      </c>
      <c r="U63" s="72">
        <v>3</v>
      </c>
      <c r="V63" s="72">
        <v>3</v>
      </c>
      <c r="W63" s="72">
        <v>3</v>
      </c>
      <c r="X63" s="72">
        <v>3</v>
      </c>
      <c r="Y63" s="72">
        <v>3</v>
      </c>
      <c r="Z63" s="72">
        <v>3</v>
      </c>
      <c r="AA63" s="72">
        <v>3</v>
      </c>
      <c r="AB63" s="72">
        <v>3</v>
      </c>
      <c r="AC63" s="72">
        <v>3</v>
      </c>
      <c r="AD63" s="72">
        <v>3</v>
      </c>
      <c r="AE63" s="72">
        <v>3</v>
      </c>
      <c r="AF63" s="72">
        <v>3</v>
      </c>
      <c r="AG63" s="61">
        <v>10.050000000000001</v>
      </c>
      <c r="AH63" s="52">
        <f t="shared" si="2"/>
        <v>3</v>
      </c>
      <c r="AI63" s="53">
        <f t="shared" si="3"/>
        <v>3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:AG66" si="10">SUM(B53:B65)</f>
        <v>263.04000000000002</v>
      </c>
      <c r="C66" s="67">
        <f t="shared" si="10"/>
        <v>161.64000000000001</v>
      </c>
      <c r="D66" s="67">
        <f t="shared" si="10"/>
        <v>161.24</v>
      </c>
      <c r="E66" s="67">
        <f t="shared" si="10"/>
        <v>128.84</v>
      </c>
      <c r="F66" s="67">
        <f t="shared" si="10"/>
        <v>145.94</v>
      </c>
      <c r="G66" s="67">
        <f t="shared" si="10"/>
        <v>141.34</v>
      </c>
      <c r="H66" s="67">
        <f t="shared" si="10"/>
        <v>170.14000000000001</v>
      </c>
      <c r="I66" s="67">
        <f t="shared" si="10"/>
        <v>187.74</v>
      </c>
      <c r="J66" s="67">
        <f t="shared" si="10"/>
        <v>219.14000000000001</v>
      </c>
      <c r="K66" s="67">
        <f t="shared" si="10"/>
        <v>258.54000000000002</v>
      </c>
      <c r="L66" s="67">
        <f t="shared" si="10"/>
        <v>270.14000000000004</v>
      </c>
      <c r="M66" s="67">
        <f t="shared" si="10"/>
        <v>287.24</v>
      </c>
      <c r="N66" s="67">
        <f t="shared" si="10"/>
        <v>218.14000000000001</v>
      </c>
      <c r="O66" s="67">
        <f t="shared" si="10"/>
        <v>237.84</v>
      </c>
      <c r="P66" s="67">
        <f t="shared" si="10"/>
        <v>292.74000000000007</v>
      </c>
      <c r="Q66" s="67">
        <f t="shared" si="10"/>
        <v>307.34000000000003</v>
      </c>
      <c r="R66" s="67">
        <f t="shared" si="10"/>
        <v>315.54000000000008</v>
      </c>
      <c r="S66" s="67">
        <f t="shared" si="10"/>
        <v>359.54000000000008</v>
      </c>
      <c r="T66" s="67">
        <f t="shared" si="10"/>
        <v>328.54</v>
      </c>
      <c r="U66" s="67">
        <f t="shared" si="10"/>
        <v>257.24000000000007</v>
      </c>
      <c r="V66" s="67">
        <f t="shared" si="10"/>
        <v>206.44000000000003</v>
      </c>
      <c r="W66" s="67">
        <f t="shared" si="10"/>
        <v>221.44000000000003</v>
      </c>
      <c r="X66" s="67">
        <f t="shared" si="10"/>
        <v>216.14000000000001</v>
      </c>
      <c r="Y66" s="67">
        <f t="shared" si="10"/>
        <v>256.94000000000005</v>
      </c>
      <c r="Z66" s="67">
        <f t="shared" si="10"/>
        <v>339.34000000000003</v>
      </c>
      <c r="AA66" s="67">
        <v>359.04000000000008</v>
      </c>
      <c r="AB66" s="67">
        <f t="shared" si="10"/>
        <v>298.44</v>
      </c>
      <c r="AC66" s="67">
        <f t="shared" si="10"/>
        <v>257.83999999999997</v>
      </c>
      <c r="AD66" s="67">
        <f t="shared" si="10"/>
        <v>227.64</v>
      </c>
      <c r="AE66" s="67">
        <f t="shared" si="10"/>
        <v>207.64</v>
      </c>
      <c r="AF66" s="67">
        <f t="shared" si="10"/>
        <v>231.83999999999997</v>
      </c>
      <c r="AG66" s="68">
        <f t="shared" si="10"/>
        <v>489.91</v>
      </c>
      <c r="AH66" s="52">
        <f t="shared" si="2"/>
        <v>359.54000000000008</v>
      </c>
      <c r="AI66" s="53">
        <f t="shared" si="3"/>
        <v>128.84</v>
      </c>
      <c r="AK66" s="54"/>
    </row>
    <row r="67" spans="1:40" x14ac:dyDescent="0.25">
      <c r="A67" s="49" t="s">
        <v>75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30</v>
      </c>
      <c r="U67" s="50">
        <v>25</v>
      </c>
      <c r="V67" s="50">
        <v>10</v>
      </c>
      <c r="W67" s="50">
        <v>10</v>
      </c>
      <c r="X67" s="50">
        <v>0</v>
      </c>
      <c r="Y67" s="50">
        <v>0</v>
      </c>
      <c r="Z67" s="50">
        <v>0</v>
      </c>
      <c r="AA67" s="50">
        <v>14</v>
      </c>
      <c r="AB67" s="50">
        <v>14</v>
      </c>
      <c r="AC67" s="50">
        <v>0</v>
      </c>
      <c r="AD67" s="50">
        <v>0</v>
      </c>
      <c r="AE67" s="50">
        <v>0</v>
      </c>
      <c r="AF67" s="50">
        <v>0</v>
      </c>
      <c r="AG67" s="56">
        <v>60</v>
      </c>
      <c r="AH67" s="52">
        <f t="shared" si="2"/>
        <v>30</v>
      </c>
      <c r="AI67" s="53">
        <f t="shared" si="3"/>
        <v>0</v>
      </c>
      <c r="AK67" s="54"/>
    </row>
    <row r="68" spans="1:40" x14ac:dyDescent="0.25">
      <c r="A68" s="60" t="s">
        <v>76</v>
      </c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12</v>
      </c>
      <c r="U68" s="72">
        <v>12</v>
      </c>
      <c r="V68" s="72">
        <v>12</v>
      </c>
      <c r="W68" s="72">
        <v>4.7</v>
      </c>
      <c r="X68" s="72">
        <v>4.5999999999999996</v>
      </c>
      <c r="Y68" s="72">
        <v>0</v>
      </c>
      <c r="Z68" s="72">
        <v>0</v>
      </c>
      <c r="AA68" s="72">
        <v>6.5</v>
      </c>
      <c r="AB68" s="72">
        <v>6.5</v>
      </c>
      <c r="AC68" s="72">
        <v>0</v>
      </c>
      <c r="AD68" s="72">
        <v>0</v>
      </c>
      <c r="AE68" s="72">
        <v>0</v>
      </c>
      <c r="AF68" s="50">
        <v>0</v>
      </c>
      <c r="AG68" s="61">
        <v>32</v>
      </c>
      <c r="AH68" s="52">
        <f t="shared" si="2"/>
        <v>12</v>
      </c>
      <c r="AI68" s="53">
        <f t="shared" si="3"/>
        <v>0</v>
      </c>
      <c r="AK68" s="54"/>
    </row>
    <row r="69" spans="1:40" ht="15.75" thickBot="1" x14ac:dyDescent="0.3">
      <c r="A69" s="78" t="s">
        <v>77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>
        <v>0</v>
      </c>
      <c r="N69" s="74">
        <v>0</v>
      </c>
      <c r="O69" s="74">
        <v>0</v>
      </c>
      <c r="P69" s="74">
        <v>0</v>
      </c>
      <c r="Q69" s="74">
        <v>0</v>
      </c>
      <c r="R69" s="74">
        <v>0</v>
      </c>
      <c r="S69" s="74">
        <v>0</v>
      </c>
      <c r="T69" s="74">
        <v>4.5999999999999996</v>
      </c>
      <c r="U69" s="74">
        <v>4.3</v>
      </c>
      <c r="V69" s="74">
        <v>4.3</v>
      </c>
      <c r="W69" s="74">
        <v>1.7</v>
      </c>
      <c r="X69" s="74">
        <v>1.7</v>
      </c>
      <c r="Y69" s="74">
        <v>0</v>
      </c>
      <c r="Z69" s="74">
        <v>0</v>
      </c>
      <c r="AA69" s="74">
        <v>2.2000000000000002</v>
      </c>
      <c r="AB69" s="74">
        <v>2.2000000000000002</v>
      </c>
      <c r="AC69" s="74">
        <v>0</v>
      </c>
      <c r="AD69" s="74">
        <v>0</v>
      </c>
      <c r="AE69" s="74">
        <v>0</v>
      </c>
      <c r="AF69" s="50">
        <v>0</v>
      </c>
      <c r="AG69" s="75">
        <v>14</v>
      </c>
      <c r="AH69" s="52">
        <f t="shared" si="2"/>
        <v>4.5999999999999996</v>
      </c>
      <c r="AI69" s="53">
        <f t="shared" si="3"/>
        <v>0</v>
      </c>
      <c r="AK69" s="54"/>
    </row>
    <row r="70" spans="1:40" ht="15.75" thickBot="1" x14ac:dyDescent="0.3">
      <c r="A70" s="81" t="s">
        <v>78</v>
      </c>
      <c r="B70" s="67">
        <f>B67+B68+B69</f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0</v>
      </c>
      <c r="M70" s="67">
        <f t="shared" ref="M70:AF70" si="11">M67+M68+M69</f>
        <v>0</v>
      </c>
      <c r="N70" s="67">
        <f t="shared" si="11"/>
        <v>0</v>
      </c>
      <c r="O70" s="67">
        <f t="shared" si="11"/>
        <v>0</v>
      </c>
      <c r="P70" s="67">
        <f t="shared" si="11"/>
        <v>0</v>
      </c>
      <c r="Q70" s="67">
        <f t="shared" si="11"/>
        <v>0</v>
      </c>
      <c r="R70" s="67">
        <f t="shared" si="11"/>
        <v>0</v>
      </c>
      <c r="S70" s="67">
        <f t="shared" si="11"/>
        <v>0</v>
      </c>
      <c r="T70" s="67">
        <f t="shared" si="11"/>
        <v>46.6</v>
      </c>
      <c r="U70" s="67">
        <f t="shared" si="11"/>
        <v>41.3</v>
      </c>
      <c r="V70" s="67">
        <f t="shared" si="11"/>
        <v>26.3</v>
      </c>
      <c r="W70" s="67">
        <f t="shared" si="11"/>
        <v>16.399999999999999</v>
      </c>
      <c r="X70" s="67">
        <f t="shared" si="11"/>
        <v>6.3</v>
      </c>
      <c r="Y70" s="67">
        <f t="shared" si="11"/>
        <v>0</v>
      </c>
      <c r="Z70" s="67">
        <f t="shared" si="11"/>
        <v>0</v>
      </c>
      <c r="AA70" s="67">
        <v>22.7</v>
      </c>
      <c r="AB70" s="67">
        <f t="shared" si="11"/>
        <v>22.7</v>
      </c>
      <c r="AC70" s="67">
        <f t="shared" si="11"/>
        <v>0</v>
      </c>
      <c r="AD70" s="67">
        <f t="shared" si="11"/>
        <v>0</v>
      </c>
      <c r="AE70" s="67">
        <f t="shared" si="11"/>
        <v>0</v>
      </c>
      <c r="AF70" s="67">
        <f t="shared" si="11"/>
        <v>0</v>
      </c>
      <c r="AG70" s="68">
        <f>SUM(AG67:AG69)</f>
        <v>106</v>
      </c>
      <c r="AH70" s="52">
        <f t="shared" si="2"/>
        <v>46.6</v>
      </c>
      <c r="AI70" s="53">
        <f t="shared" si="3"/>
        <v>0</v>
      </c>
      <c r="AK70" s="54"/>
    </row>
    <row r="71" spans="1:40" x14ac:dyDescent="0.25">
      <c r="A71" s="49" t="s">
        <v>79</v>
      </c>
      <c r="B71" s="50">
        <v>40</v>
      </c>
      <c r="C71" s="50">
        <v>43</v>
      </c>
      <c r="D71" s="50">
        <v>34</v>
      </c>
      <c r="E71" s="50">
        <v>46.8</v>
      </c>
      <c r="F71" s="50">
        <v>33</v>
      </c>
      <c r="G71" s="50">
        <v>44.4</v>
      </c>
      <c r="H71" s="50">
        <v>45.4</v>
      </c>
      <c r="I71" s="50">
        <v>43.4</v>
      </c>
      <c r="J71" s="50">
        <v>46.9</v>
      </c>
      <c r="K71" s="50">
        <v>47</v>
      </c>
      <c r="L71" s="50">
        <v>41.7</v>
      </c>
      <c r="M71" s="50">
        <v>52</v>
      </c>
      <c r="N71" s="50">
        <v>55.7</v>
      </c>
      <c r="O71" s="50">
        <v>64.3</v>
      </c>
      <c r="P71" s="50">
        <v>62.1</v>
      </c>
      <c r="Q71" s="50">
        <v>54</v>
      </c>
      <c r="R71" s="50">
        <v>59.7</v>
      </c>
      <c r="S71" s="50">
        <v>65.8</v>
      </c>
      <c r="T71" s="50">
        <v>40</v>
      </c>
      <c r="U71" s="50">
        <v>54</v>
      </c>
      <c r="V71" s="50">
        <v>58</v>
      </c>
      <c r="W71" s="50">
        <v>54</v>
      </c>
      <c r="X71" s="50">
        <v>50</v>
      </c>
      <c r="Y71" s="50">
        <v>53</v>
      </c>
      <c r="Z71" s="50">
        <v>63</v>
      </c>
      <c r="AA71" s="50">
        <v>49.97</v>
      </c>
      <c r="AB71" s="50">
        <v>56.6</v>
      </c>
      <c r="AC71" s="50">
        <v>72.3</v>
      </c>
      <c r="AD71" s="50">
        <v>69</v>
      </c>
      <c r="AE71" s="50">
        <v>53</v>
      </c>
      <c r="AF71" s="50">
        <v>38</v>
      </c>
      <c r="AG71" s="56"/>
      <c r="AH71" s="52">
        <f t="shared" si="2"/>
        <v>72.3</v>
      </c>
      <c r="AI71" s="53">
        <f t="shared" si="3"/>
        <v>33</v>
      </c>
      <c r="AK71" s="54"/>
    </row>
    <row r="72" spans="1:40" x14ac:dyDescent="0.25">
      <c r="A72" s="60" t="s">
        <v>80</v>
      </c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62</v>
      </c>
      <c r="C73" s="72">
        <v>293</v>
      </c>
      <c r="D73" s="72">
        <v>290</v>
      </c>
      <c r="E73" s="72">
        <v>330</v>
      </c>
      <c r="F73" s="72">
        <v>322</v>
      </c>
      <c r="G73" s="72">
        <v>320.3</v>
      </c>
      <c r="H73" s="72">
        <v>338</v>
      </c>
      <c r="I73" s="72">
        <v>350</v>
      </c>
      <c r="J73" s="72">
        <v>377</v>
      </c>
      <c r="K73" s="72">
        <v>392</v>
      </c>
      <c r="L73" s="72">
        <v>393.2</v>
      </c>
      <c r="M73" s="72">
        <v>413</v>
      </c>
      <c r="N73" s="72">
        <v>416</v>
      </c>
      <c r="O73" s="72">
        <v>432.8</v>
      </c>
      <c r="P73" s="72">
        <v>422.4</v>
      </c>
      <c r="Q73" s="72">
        <v>436</v>
      </c>
      <c r="R73" s="72">
        <v>417</v>
      </c>
      <c r="S73" s="72">
        <v>441</v>
      </c>
      <c r="T73" s="72">
        <v>440</v>
      </c>
      <c r="U73" s="72">
        <v>430</v>
      </c>
      <c r="V73" s="72">
        <v>428</v>
      </c>
      <c r="W73" s="72">
        <v>430</v>
      </c>
      <c r="X73" s="72">
        <v>400</v>
      </c>
      <c r="Y73" s="72">
        <v>406</v>
      </c>
      <c r="Z73" s="72">
        <v>380</v>
      </c>
      <c r="AA73" s="72">
        <v>382</v>
      </c>
      <c r="AB73" s="72">
        <v>388</v>
      </c>
      <c r="AC73" s="72">
        <v>394</v>
      </c>
      <c r="AD73" s="72">
        <v>408</v>
      </c>
      <c r="AE73" s="72">
        <v>376</v>
      </c>
      <c r="AF73" s="72">
        <v>375</v>
      </c>
      <c r="AG73" s="82"/>
      <c r="AH73" s="52">
        <f t="shared" si="2"/>
        <v>441</v>
      </c>
      <c r="AI73" s="53">
        <f t="shared" si="3"/>
        <v>62</v>
      </c>
      <c r="AK73" s="54"/>
    </row>
    <row r="74" spans="1:40" x14ac:dyDescent="0.25">
      <c r="A74" s="60" t="s">
        <v>82</v>
      </c>
      <c r="B74" s="72"/>
      <c r="C74" s="72"/>
      <c r="D74" s="72"/>
      <c r="E74" s="83"/>
      <c r="F74" s="83"/>
      <c r="G74" s="83"/>
      <c r="H74" s="83"/>
      <c r="I74" s="83">
        <v>15</v>
      </c>
      <c r="J74" s="83">
        <v>0</v>
      </c>
      <c r="K74" s="83">
        <v>0</v>
      </c>
      <c r="L74" s="83"/>
      <c r="M74" s="83">
        <v>0</v>
      </c>
      <c r="N74" s="83">
        <v>49</v>
      </c>
      <c r="O74" s="83">
        <v>55.8</v>
      </c>
      <c r="P74" s="83">
        <v>57.5</v>
      </c>
      <c r="Q74" s="83">
        <v>61</v>
      </c>
      <c r="R74" s="83">
        <v>61.2</v>
      </c>
      <c r="S74" s="83">
        <v>60.6</v>
      </c>
      <c r="T74" s="83">
        <v>60.6</v>
      </c>
      <c r="U74" s="83">
        <v>60.6</v>
      </c>
      <c r="V74" s="83">
        <v>54</v>
      </c>
      <c r="W74" s="83">
        <v>45.7</v>
      </c>
      <c r="X74" s="83">
        <v>49.8</v>
      </c>
      <c r="Y74" s="83">
        <v>49.8</v>
      </c>
      <c r="Z74" s="83">
        <v>49.8</v>
      </c>
      <c r="AA74" s="72">
        <v>57</v>
      </c>
      <c r="AB74" s="72">
        <v>57</v>
      </c>
      <c r="AC74" s="72">
        <v>61.5</v>
      </c>
      <c r="AD74" s="72">
        <v>50</v>
      </c>
      <c r="AE74" s="72">
        <v>60</v>
      </c>
      <c r="AF74" s="72">
        <v>14</v>
      </c>
      <c r="AG74" s="82"/>
      <c r="AH74" s="52">
        <f t="shared" si="2"/>
        <v>61.5</v>
      </c>
      <c r="AI74" s="53">
        <f t="shared" si="3"/>
        <v>0</v>
      </c>
      <c r="AK74" s="54"/>
    </row>
    <row r="75" spans="1:40" x14ac:dyDescent="0.25">
      <c r="A75" s="60" t="s">
        <v>83</v>
      </c>
      <c r="B75" s="50"/>
      <c r="C75" s="50"/>
      <c r="D75" s="50"/>
      <c r="E75" s="50"/>
      <c r="F75" s="50"/>
      <c r="G75" s="50"/>
      <c r="H75" s="50">
        <v>17.2</v>
      </c>
      <c r="I75" s="50">
        <v>0</v>
      </c>
      <c r="J75" s="50">
        <v>0</v>
      </c>
      <c r="K75" s="50">
        <v>0</v>
      </c>
      <c r="L75" s="50"/>
      <c r="M75" s="50">
        <v>0</v>
      </c>
      <c r="N75" s="50">
        <v>28</v>
      </c>
      <c r="O75" s="50">
        <v>33.1</v>
      </c>
      <c r="P75" s="50">
        <v>33.6</v>
      </c>
      <c r="Q75" s="50">
        <v>33.6</v>
      </c>
      <c r="R75" s="50">
        <v>28.9</v>
      </c>
      <c r="S75" s="50">
        <v>29.3</v>
      </c>
      <c r="T75" s="50">
        <v>29.3</v>
      </c>
      <c r="U75" s="50">
        <v>31</v>
      </c>
      <c r="V75" s="50">
        <v>25.3</v>
      </c>
      <c r="W75" s="50">
        <v>25.3</v>
      </c>
      <c r="X75" s="50">
        <v>25.4</v>
      </c>
      <c r="Y75" s="50">
        <v>25.4</v>
      </c>
      <c r="Z75" s="50">
        <v>25.4</v>
      </c>
      <c r="AA75" s="50">
        <v>22.7</v>
      </c>
      <c r="AB75" s="50">
        <v>22.3</v>
      </c>
      <c r="AC75" s="50">
        <v>22.3</v>
      </c>
      <c r="AD75" s="50">
        <v>22.3</v>
      </c>
      <c r="AE75" s="50">
        <v>22.3</v>
      </c>
      <c r="AF75" s="50">
        <v>0</v>
      </c>
      <c r="AG75" s="82"/>
      <c r="AH75" s="52">
        <f t="shared" ref="AH75:AH117" si="12">MAX(B75:AF75)</f>
        <v>33.6</v>
      </c>
      <c r="AI75" s="53">
        <f t="shared" ref="AI75:AI117" si="13">MIN(B75:AF75)</f>
        <v>0</v>
      </c>
      <c r="AK75" s="54"/>
    </row>
    <row r="76" spans="1:40" x14ac:dyDescent="0.25">
      <c r="A76" s="60" t="s">
        <v>84</v>
      </c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50">
        <v>0</v>
      </c>
      <c r="N76" s="50">
        <v>0</v>
      </c>
      <c r="O76" s="50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2"/>
      <c r="AH76" s="52">
        <f t="shared" si="12"/>
        <v>0</v>
      </c>
      <c r="AI76" s="53">
        <f t="shared" si="13"/>
        <v>0</v>
      </c>
      <c r="AK76" s="54"/>
    </row>
    <row r="77" spans="1:40" ht="15.75" thickBot="1" x14ac:dyDescent="0.3">
      <c r="A77" s="60" t="s">
        <v>85</v>
      </c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50">
        <v>0</v>
      </c>
      <c r="N77" s="50">
        <v>0</v>
      </c>
      <c r="O77" s="50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2"/>
        <v>0</v>
      </c>
      <c r="AI77" s="53">
        <f t="shared" si="13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50">
        <v>0</v>
      </c>
      <c r="N78" s="50">
        <v>0</v>
      </c>
      <c r="O78" s="50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2"/>
        <v>0</v>
      </c>
      <c r="AI78" s="53">
        <f t="shared" si="13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50">
        <v>0</v>
      </c>
      <c r="N79" s="50">
        <v>0</v>
      </c>
      <c r="O79" s="50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2"/>
        <v>0</v>
      </c>
      <c r="AI79" s="53">
        <f t="shared" si="13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50">
        <v>0</v>
      </c>
      <c r="N80" s="50">
        <v>0</v>
      </c>
      <c r="O80" s="50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2"/>
        <v>0</v>
      </c>
      <c r="AI80" s="53">
        <f t="shared" si="13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50">
        <v>0</v>
      </c>
      <c r="N81" s="50">
        <v>0</v>
      </c>
      <c r="O81" s="50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2"/>
        <v>0</v>
      </c>
      <c r="AI81" s="53">
        <f t="shared" si="13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:AF82" si="14">SUMIF(B71:B81,"&gt;0")</f>
        <v>102</v>
      </c>
      <c r="C82" s="67">
        <f t="shared" si="14"/>
        <v>336</v>
      </c>
      <c r="D82" s="67">
        <f t="shared" si="14"/>
        <v>324</v>
      </c>
      <c r="E82" s="67">
        <f t="shared" si="14"/>
        <v>376.8</v>
      </c>
      <c r="F82" s="67">
        <f t="shared" si="14"/>
        <v>355</v>
      </c>
      <c r="G82" s="67">
        <f t="shared" si="14"/>
        <v>364.7</v>
      </c>
      <c r="H82" s="67">
        <f t="shared" si="14"/>
        <v>400.59999999999997</v>
      </c>
      <c r="I82" s="67">
        <f t="shared" si="14"/>
        <v>408.4</v>
      </c>
      <c r="J82" s="67">
        <f t="shared" si="14"/>
        <v>423.9</v>
      </c>
      <c r="K82" s="67">
        <f t="shared" si="14"/>
        <v>439</v>
      </c>
      <c r="L82" s="67">
        <f t="shared" si="14"/>
        <v>434.9</v>
      </c>
      <c r="M82" s="67">
        <f t="shared" si="14"/>
        <v>465</v>
      </c>
      <c r="N82" s="67">
        <f t="shared" si="14"/>
        <v>548.70000000000005</v>
      </c>
      <c r="O82" s="67">
        <f t="shared" si="14"/>
        <v>586</v>
      </c>
      <c r="P82" s="67">
        <f t="shared" si="14"/>
        <v>575.6</v>
      </c>
      <c r="Q82" s="67">
        <f t="shared" si="14"/>
        <v>584.6</v>
      </c>
      <c r="R82" s="67">
        <f t="shared" si="14"/>
        <v>566.79999999999995</v>
      </c>
      <c r="S82" s="67">
        <f t="shared" si="14"/>
        <v>596.69999999999993</v>
      </c>
      <c r="T82" s="67">
        <f t="shared" si="14"/>
        <v>569.9</v>
      </c>
      <c r="U82" s="67">
        <f t="shared" si="14"/>
        <v>575.6</v>
      </c>
      <c r="V82" s="67">
        <f t="shared" si="14"/>
        <v>565.29999999999995</v>
      </c>
      <c r="W82" s="67">
        <f t="shared" si="14"/>
        <v>555</v>
      </c>
      <c r="X82" s="67">
        <f t="shared" si="14"/>
        <v>525.20000000000005</v>
      </c>
      <c r="Y82" s="67">
        <f t="shared" si="14"/>
        <v>534.20000000000005</v>
      </c>
      <c r="Z82" s="67">
        <f t="shared" si="14"/>
        <v>518.20000000000005</v>
      </c>
      <c r="AA82" s="67">
        <v>511.67</v>
      </c>
      <c r="AB82" s="67">
        <f t="shared" si="14"/>
        <v>523.9</v>
      </c>
      <c r="AC82" s="67">
        <f t="shared" si="14"/>
        <v>550.09999999999991</v>
      </c>
      <c r="AD82" s="67">
        <f t="shared" si="14"/>
        <v>549.29999999999995</v>
      </c>
      <c r="AE82" s="67">
        <f t="shared" si="14"/>
        <v>511.3</v>
      </c>
      <c r="AF82" s="67">
        <f t="shared" si="14"/>
        <v>427</v>
      </c>
      <c r="AG82" s="95">
        <f>SUM(AG71:AG81)</f>
        <v>0</v>
      </c>
      <c r="AH82" s="52">
        <f t="shared" si="12"/>
        <v>596.69999999999993</v>
      </c>
      <c r="AI82" s="53">
        <f t="shared" si="13"/>
        <v>102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2"/>
        <v>0</v>
      </c>
      <c r="AI83" s="53">
        <f t="shared" si="13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2"/>
        <v>0</v>
      </c>
      <c r="AI84" s="53">
        <f t="shared" si="13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2"/>
        <v>0</v>
      </c>
      <c r="AI85" s="53">
        <f t="shared" si="13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>
        <v>0</v>
      </c>
      <c r="Z86" s="67"/>
      <c r="AA86" s="67">
        <v>50</v>
      </c>
      <c r="AB86" s="67">
        <v>50</v>
      </c>
      <c r="AC86" s="67"/>
      <c r="AD86" s="67"/>
      <c r="AE86" s="67"/>
      <c r="AF86" s="67"/>
      <c r="AG86" s="95">
        <f>SUM(AG83:AG85)</f>
        <v>55.4</v>
      </c>
      <c r="AH86" s="52">
        <f t="shared" si="12"/>
        <v>50</v>
      </c>
      <c r="AI86" s="53">
        <f t="shared" si="13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:AG87" si="15">B48+B52+B70+B66+B82+B86</f>
        <v>1017.3399999999999</v>
      </c>
      <c r="C87" s="102">
        <f t="shared" si="15"/>
        <v>1019.94</v>
      </c>
      <c r="D87" s="102">
        <f t="shared" si="15"/>
        <v>1007.5400000000001</v>
      </c>
      <c r="E87" s="102">
        <f t="shared" si="15"/>
        <v>1027.94</v>
      </c>
      <c r="F87" s="102">
        <f t="shared" si="15"/>
        <v>1023.24</v>
      </c>
      <c r="G87" s="102">
        <f t="shared" si="15"/>
        <v>1030.74</v>
      </c>
      <c r="H87" s="102">
        <f t="shared" si="15"/>
        <v>1095.3399999999999</v>
      </c>
      <c r="I87" s="102">
        <f t="shared" si="15"/>
        <v>1101.8400000000001</v>
      </c>
      <c r="J87" s="102">
        <f t="shared" si="15"/>
        <v>1148.8399999999999</v>
      </c>
      <c r="K87" s="102">
        <f t="shared" si="15"/>
        <v>1203.3399999999999</v>
      </c>
      <c r="L87" s="102">
        <f t="shared" si="15"/>
        <v>1210.8400000000001</v>
      </c>
      <c r="M87" s="102">
        <f t="shared" si="15"/>
        <v>1247.44</v>
      </c>
      <c r="N87" s="102">
        <f t="shared" si="15"/>
        <v>1261.04</v>
      </c>
      <c r="O87" s="102">
        <f t="shared" si="15"/>
        <v>1315.1399999999999</v>
      </c>
      <c r="P87" s="102">
        <f t="shared" si="15"/>
        <v>1346.7400000000002</v>
      </c>
      <c r="Q87" s="102">
        <f t="shared" si="15"/>
        <v>1370.3400000000001</v>
      </c>
      <c r="R87" s="102">
        <f t="shared" si="15"/>
        <v>1360.74</v>
      </c>
      <c r="S87" s="102">
        <f t="shared" si="15"/>
        <v>1434.6399999999999</v>
      </c>
      <c r="T87" s="102">
        <f t="shared" si="15"/>
        <v>1423.44</v>
      </c>
      <c r="U87" s="102">
        <f t="shared" si="15"/>
        <v>1352.54</v>
      </c>
      <c r="V87" s="102">
        <f t="shared" si="15"/>
        <v>1276.44</v>
      </c>
      <c r="W87" s="102">
        <f t="shared" si="15"/>
        <v>1271.24</v>
      </c>
      <c r="X87" s="102">
        <f t="shared" si="15"/>
        <v>1226.04</v>
      </c>
      <c r="Y87" s="102">
        <f t="shared" si="15"/>
        <v>1289.54</v>
      </c>
      <c r="Z87" s="102">
        <f t="shared" si="15"/>
        <v>1411.94</v>
      </c>
      <c r="AA87" s="102">
        <v>1466.8100000000002</v>
      </c>
      <c r="AB87" s="102">
        <f t="shared" si="15"/>
        <v>1461.1399999999999</v>
      </c>
      <c r="AC87" s="102">
        <f t="shared" si="15"/>
        <v>1354.04</v>
      </c>
      <c r="AD87" s="102">
        <f t="shared" si="15"/>
        <v>1323.04</v>
      </c>
      <c r="AE87" s="102">
        <f t="shared" si="15"/>
        <v>1255.04</v>
      </c>
      <c r="AF87" s="102">
        <f t="shared" si="15"/>
        <v>1194.94</v>
      </c>
      <c r="AG87" s="68">
        <f t="shared" si="15"/>
        <v>2065.09</v>
      </c>
      <c r="AH87" s="52">
        <f>MAX(B87:AF87)</f>
        <v>1466.8100000000002</v>
      </c>
      <c r="AI87" s="53">
        <f>MIN(B87:AF87)</f>
        <v>1007.5400000000001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>
        <v>80</v>
      </c>
      <c r="J88" s="104">
        <v>100</v>
      </c>
      <c r="K88" s="104">
        <v>100</v>
      </c>
      <c r="L88" s="104">
        <v>100</v>
      </c>
      <c r="M88" s="104">
        <v>100</v>
      </c>
      <c r="N88" s="104">
        <v>100</v>
      </c>
      <c r="O88" s="104">
        <v>80</v>
      </c>
      <c r="P88" s="104"/>
      <c r="Q88" s="104"/>
      <c r="R88" s="104"/>
      <c r="S88" s="104"/>
      <c r="T88" s="104"/>
      <c r="U88" s="104"/>
      <c r="V88" s="104"/>
      <c r="W88" s="104"/>
      <c r="X88" s="104"/>
      <c r="Y88" s="104">
        <v>80</v>
      </c>
      <c r="Z88" s="104">
        <v>80</v>
      </c>
      <c r="AA88" s="104">
        <v>80</v>
      </c>
      <c r="AB88" s="104"/>
      <c r="AC88" s="104"/>
      <c r="AD88" s="104"/>
      <c r="AE88" s="104"/>
      <c r="AF88" s="104"/>
      <c r="AG88" s="95"/>
      <c r="AH88" s="52">
        <f t="shared" si="12"/>
        <v>100</v>
      </c>
      <c r="AI88" s="53">
        <f t="shared" si="13"/>
        <v>80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:AF89" si="16">B87+B88</f>
        <v>1017.3399999999999</v>
      </c>
      <c r="C89" s="102">
        <f t="shared" si="16"/>
        <v>1019.94</v>
      </c>
      <c r="D89" s="102">
        <f t="shared" si="16"/>
        <v>1007.5400000000001</v>
      </c>
      <c r="E89" s="102">
        <f t="shared" si="16"/>
        <v>1027.94</v>
      </c>
      <c r="F89" s="102">
        <f t="shared" si="16"/>
        <v>1023.24</v>
      </c>
      <c r="G89" s="102">
        <f t="shared" si="16"/>
        <v>1030.74</v>
      </c>
      <c r="H89" s="102">
        <f t="shared" si="16"/>
        <v>1095.3399999999999</v>
      </c>
      <c r="I89" s="102">
        <f t="shared" si="16"/>
        <v>1181.8400000000001</v>
      </c>
      <c r="J89" s="102">
        <f t="shared" si="16"/>
        <v>1248.8399999999999</v>
      </c>
      <c r="K89" s="102">
        <f t="shared" si="16"/>
        <v>1303.3399999999999</v>
      </c>
      <c r="L89" s="102">
        <f t="shared" si="16"/>
        <v>1310.8400000000001</v>
      </c>
      <c r="M89" s="102">
        <f t="shared" si="16"/>
        <v>1347.44</v>
      </c>
      <c r="N89" s="102">
        <f t="shared" si="16"/>
        <v>1361.04</v>
      </c>
      <c r="O89" s="102">
        <f t="shared" si="16"/>
        <v>1395.1399999999999</v>
      </c>
      <c r="P89" s="102">
        <f t="shared" si="16"/>
        <v>1346.7400000000002</v>
      </c>
      <c r="Q89" s="102">
        <f t="shared" si="16"/>
        <v>1370.3400000000001</v>
      </c>
      <c r="R89" s="102">
        <f t="shared" si="16"/>
        <v>1360.74</v>
      </c>
      <c r="S89" s="102">
        <f t="shared" si="16"/>
        <v>1434.6399999999999</v>
      </c>
      <c r="T89" s="102">
        <f t="shared" si="16"/>
        <v>1423.44</v>
      </c>
      <c r="U89" s="102">
        <f t="shared" si="16"/>
        <v>1352.54</v>
      </c>
      <c r="V89" s="102">
        <f t="shared" si="16"/>
        <v>1276.44</v>
      </c>
      <c r="W89" s="102">
        <f t="shared" si="16"/>
        <v>1271.24</v>
      </c>
      <c r="X89" s="102">
        <f t="shared" si="16"/>
        <v>1226.04</v>
      </c>
      <c r="Y89" s="102">
        <f t="shared" si="16"/>
        <v>1369.54</v>
      </c>
      <c r="Z89" s="102">
        <f t="shared" si="16"/>
        <v>1491.94</v>
      </c>
      <c r="AA89" s="102">
        <v>1546.8100000000002</v>
      </c>
      <c r="AB89" s="102">
        <f t="shared" si="16"/>
        <v>1461.1399999999999</v>
      </c>
      <c r="AC89" s="102">
        <f t="shared" si="16"/>
        <v>1354.04</v>
      </c>
      <c r="AD89" s="102">
        <f t="shared" si="16"/>
        <v>1323.04</v>
      </c>
      <c r="AE89" s="102">
        <f t="shared" si="16"/>
        <v>1255.04</v>
      </c>
      <c r="AF89" s="102">
        <f t="shared" si="16"/>
        <v>1194.94</v>
      </c>
      <c r="AG89" s="95">
        <f>AG86+AG82+AG70+AG66+AG48+AG88</f>
        <v>1526.99</v>
      </c>
      <c r="AH89" s="52">
        <f t="shared" si="12"/>
        <v>1546.8100000000002</v>
      </c>
      <c r="AI89" s="53">
        <f t="shared" si="13"/>
        <v>1007.5400000000001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:AF90" si="17">B89-B97</f>
        <v>1017.3399999999999</v>
      </c>
      <c r="C90" s="102">
        <f t="shared" si="17"/>
        <v>1019.94</v>
      </c>
      <c r="D90" s="102">
        <f t="shared" si="17"/>
        <v>1007.5400000000001</v>
      </c>
      <c r="E90" s="102">
        <f t="shared" si="17"/>
        <v>1027.94</v>
      </c>
      <c r="F90" s="102">
        <f t="shared" si="17"/>
        <v>1023.24</v>
      </c>
      <c r="G90" s="102">
        <f t="shared" si="17"/>
        <v>1030.74</v>
      </c>
      <c r="H90" s="102">
        <f t="shared" si="17"/>
        <v>1095.3399999999999</v>
      </c>
      <c r="I90" s="102">
        <f t="shared" si="17"/>
        <v>1181.8400000000001</v>
      </c>
      <c r="J90" s="102">
        <f t="shared" si="17"/>
        <v>1248.8399999999999</v>
      </c>
      <c r="K90" s="102">
        <f t="shared" si="17"/>
        <v>1303.3399999999999</v>
      </c>
      <c r="L90" s="102">
        <f t="shared" si="17"/>
        <v>1310.8400000000001</v>
      </c>
      <c r="M90" s="102">
        <f t="shared" si="17"/>
        <v>1347.44</v>
      </c>
      <c r="N90" s="102">
        <f t="shared" si="17"/>
        <v>1361.04</v>
      </c>
      <c r="O90" s="102">
        <f t="shared" si="17"/>
        <v>1395.1399999999999</v>
      </c>
      <c r="P90" s="102">
        <f t="shared" si="17"/>
        <v>1346.7400000000002</v>
      </c>
      <c r="Q90" s="102">
        <f t="shared" si="17"/>
        <v>1370.3400000000001</v>
      </c>
      <c r="R90" s="102">
        <f t="shared" si="17"/>
        <v>1360.74</v>
      </c>
      <c r="S90" s="102">
        <f t="shared" si="17"/>
        <v>1434.6399999999999</v>
      </c>
      <c r="T90" s="102">
        <f t="shared" si="17"/>
        <v>1423.44</v>
      </c>
      <c r="U90" s="102">
        <f t="shared" si="17"/>
        <v>1352.54</v>
      </c>
      <c r="V90" s="102">
        <f t="shared" si="17"/>
        <v>1276.44</v>
      </c>
      <c r="W90" s="102">
        <f t="shared" si="17"/>
        <v>1271.24</v>
      </c>
      <c r="X90" s="102">
        <f t="shared" si="17"/>
        <v>1226.04</v>
      </c>
      <c r="Y90" s="102">
        <f t="shared" si="17"/>
        <v>1369.54</v>
      </c>
      <c r="Z90" s="102">
        <f t="shared" si="17"/>
        <v>1491.94</v>
      </c>
      <c r="AA90" s="102">
        <v>1546.8100000000002</v>
      </c>
      <c r="AB90" s="102">
        <f t="shared" si="17"/>
        <v>1461.1399999999999</v>
      </c>
      <c r="AC90" s="102">
        <f t="shared" si="17"/>
        <v>1354.04</v>
      </c>
      <c r="AD90" s="102">
        <f t="shared" si="17"/>
        <v>1323.04</v>
      </c>
      <c r="AE90" s="102">
        <f t="shared" si="17"/>
        <v>1255.04</v>
      </c>
      <c r="AF90" s="102">
        <f t="shared" si="17"/>
        <v>1194.94</v>
      </c>
      <c r="AG90" s="95"/>
      <c r="AH90" s="52">
        <f t="shared" si="12"/>
        <v>1546.8100000000002</v>
      </c>
      <c r="AI90" s="53">
        <f t="shared" si="13"/>
        <v>1007.5400000000001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2"/>
        <v>0</v>
      </c>
      <c r="AI91" s="53">
        <f t="shared" si="13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2"/>
        <v>0</v>
      </c>
      <c r="AI92" s="53">
        <f t="shared" si="13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2"/>
        <v>0</v>
      </c>
      <c r="AI93" s="53">
        <f t="shared" si="13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2"/>
        <v>0</v>
      </c>
      <c r="AI94" s="53">
        <f t="shared" si="13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2"/>
        <v>0</v>
      </c>
      <c r="AI95" s="53">
        <f t="shared" si="13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2"/>
        <v>0</v>
      </c>
      <c r="AI96" s="53">
        <f t="shared" si="13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>
        <v>0</v>
      </c>
      <c r="AB97" s="67"/>
      <c r="AC97" s="67"/>
      <c r="AD97" s="67"/>
      <c r="AE97" s="67"/>
      <c r="AF97" s="67"/>
      <c r="AG97" s="95"/>
      <c r="AH97" s="52">
        <f t="shared" si="12"/>
        <v>0</v>
      </c>
      <c r="AI97" s="53">
        <f t="shared" si="13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:AF98" si="18">B82-B97</f>
        <v>102</v>
      </c>
      <c r="C98" s="67">
        <f t="shared" si="18"/>
        <v>336</v>
      </c>
      <c r="D98" s="67">
        <f t="shared" si="18"/>
        <v>324</v>
      </c>
      <c r="E98" s="67">
        <f t="shared" si="18"/>
        <v>376.8</v>
      </c>
      <c r="F98" s="67">
        <f t="shared" si="18"/>
        <v>355</v>
      </c>
      <c r="G98" s="67">
        <f t="shared" si="18"/>
        <v>364.7</v>
      </c>
      <c r="H98" s="67">
        <f t="shared" si="18"/>
        <v>400.59999999999997</v>
      </c>
      <c r="I98" s="67">
        <f t="shared" si="18"/>
        <v>408.4</v>
      </c>
      <c r="J98" s="67">
        <f t="shared" si="18"/>
        <v>423.9</v>
      </c>
      <c r="K98" s="67">
        <f t="shared" si="18"/>
        <v>439</v>
      </c>
      <c r="L98" s="67">
        <f t="shared" si="18"/>
        <v>434.9</v>
      </c>
      <c r="M98" s="67">
        <f t="shared" si="18"/>
        <v>465</v>
      </c>
      <c r="N98" s="67">
        <f t="shared" si="18"/>
        <v>548.70000000000005</v>
      </c>
      <c r="O98" s="67">
        <f t="shared" si="18"/>
        <v>586</v>
      </c>
      <c r="P98" s="67">
        <f t="shared" si="18"/>
        <v>575.6</v>
      </c>
      <c r="Q98" s="67">
        <f t="shared" si="18"/>
        <v>584.6</v>
      </c>
      <c r="R98" s="67">
        <f t="shared" si="18"/>
        <v>566.79999999999995</v>
      </c>
      <c r="S98" s="67">
        <f t="shared" si="18"/>
        <v>596.69999999999993</v>
      </c>
      <c r="T98" s="67">
        <f t="shared" si="18"/>
        <v>569.9</v>
      </c>
      <c r="U98" s="67">
        <f t="shared" si="18"/>
        <v>575.6</v>
      </c>
      <c r="V98" s="67">
        <f t="shared" si="18"/>
        <v>565.29999999999995</v>
      </c>
      <c r="W98" s="67">
        <f t="shared" si="18"/>
        <v>555</v>
      </c>
      <c r="X98" s="67">
        <f t="shared" si="18"/>
        <v>525.20000000000005</v>
      </c>
      <c r="Y98" s="67">
        <f t="shared" si="18"/>
        <v>534.20000000000005</v>
      </c>
      <c r="Z98" s="67">
        <f t="shared" si="18"/>
        <v>518.20000000000005</v>
      </c>
      <c r="AA98" s="67">
        <v>511.67</v>
      </c>
      <c r="AB98" s="67">
        <f t="shared" si="18"/>
        <v>523.9</v>
      </c>
      <c r="AC98" s="67">
        <f t="shared" si="18"/>
        <v>550.09999999999991</v>
      </c>
      <c r="AD98" s="67">
        <f t="shared" si="18"/>
        <v>549.29999999999995</v>
      </c>
      <c r="AE98" s="67">
        <f t="shared" si="18"/>
        <v>511.3</v>
      </c>
      <c r="AF98" s="67">
        <f t="shared" si="18"/>
        <v>427</v>
      </c>
      <c r="AG98" s="95"/>
      <c r="AH98" s="52">
        <f t="shared" si="12"/>
        <v>596.69999999999993</v>
      </c>
      <c r="AI98" s="53">
        <f t="shared" si="13"/>
        <v>102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50.052</v>
      </c>
      <c r="C99" s="108">
        <v>50.023000000000003</v>
      </c>
      <c r="D99" s="108">
        <v>50.003</v>
      </c>
      <c r="E99" s="108">
        <v>49.996000000000002</v>
      </c>
      <c r="F99" s="108">
        <v>50.031999999999996</v>
      </c>
      <c r="G99" s="108">
        <v>49.944000000000003</v>
      </c>
      <c r="H99" s="108">
        <v>49.892000000000003</v>
      </c>
      <c r="I99" s="108">
        <v>49.966000000000001</v>
      </c>
      <c r="J99" s="108">
        <v>50.042000000000002</v>
      </c>
      <c r="K99" s="108">
        <v>50.037999999999997</v>
      </c>
      <c r="L99" s="108">
        <v>50.018000000000001</v>
      </c>
      <c r="M99" s="108">
        <v>49.869</v>
      </c>
      <c r="N99" s="108">
        <v>50.006</v>
      </c>
      <c r="O99" s="108">
        <v>50.06</v>
      </c>
      <c r="P99" s="108">
        <v>50.03</v>
      </c>
      <c r="Q99" s="108">
        <v>50.045999999999999</v>
      </c>
      <c r="R99" s="108">
        <v>49.99</v>
      </c>
      <c r="S99" s="108">
        <v>49.92</v>
      </c>
      <c r="T99" s="108">
        <v>49.93</v>
      </c>
      <c r="U99" s="108">
        <v>50.03</v>
      </c>
      <c r="V99" s="108">
        <v>49.98</v>
      </c>
      <c r="W99" s="108">
        <v>49.94</v>
      </c>
      <c r="X99" s="108">
        <v>50</v>
      </c>
      <c r="Y99" s="108">
        <v>49.99</v>
      </c>
      <c r="Z99" s="108">
        <v>50.04</v>
      </c>
      <c r="AA99" s="108">
        <v>49.95</v>
      </c>
      <c r="AB99" s="108">
        <v>50.045999999999999</v>
      </c>
      <c r="AC99" s="108">
        <v>49.953000000000003</v>
      </c>
      <c r="AD99" s="108">
        <v>49.965000000000003</v>
      </c>
      <c r="AE99" s="108">
        <v>50.067</v>
      </c>
      <c r="AF99" s="108">
        <v>49.985999999999997</v>
      </c>
      <c r="AG99" s="109"/>
      <c r="AH99" s="52">
        <f t="shared" si="12"/>
        <v>50.067</v>
      </c>
      <c r="AI99" s="53">
        <f t="shared" si="13"/>
        <v>49.869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126.7</v>
      </c>
      <c r="C100" s="72">
        <v>128.69999999999999</v>
      </c>
      <c r="D100" s="72">
        <v>128.69999999999999</v>
      </c>
      <c r="E100" s="72">
        <v>127.5</v>
      </c>
      <c r="F100" s="72">
        <v>128.19999999999999</v>
      </c>
      <c r="G100" s="72">
        <v>127.6</v>
      </c>
      <c r="H100" s="72">
        <v>125.5</v>
      </c>
      <c r="I100" s="72">
        <v>128</v>
      </c>
      <c r="J100" s="72">
        <v>126.1</v>
      </c>
      <c r="K100" s="72">
        <v>125.2</v>
      </c>
      <c r="L100" s="72">
        <v>125</v>
      </c>
      <c r="M100" s="72">
        <v>123.5</v>
      </c>
      <c r="N100" s="72">
        <v>123.3</v>
      </c>
      <c r="O100" s="72">
        <v>122.6</v>
      </c>
      <c r="P100" s="72">
        <v>123.7</v>
      </c>
      <c r="Q100" s="72">
        <v>122.4</v>
      </c>
      <c r="R100" s="72">
        <v>122.4</v>
      </c>
      <c r="S100" s="72">
        <v>121.2</v>
      </c>
      <c r="T100" s="72">
        <v>125.2</v>
      </c>
      <c r="U100" s="72">
        <v>124.4</v>
      </c>
      <c r="V100" s="72">
        <v>124.7</v>
      </c>
      <c r="W100" s="72">
        <v>127.3</v>
      </c>
      <c r="X100" s="72">
        <v>126.8</v>
      </c>
      <c r="Y100" s="72">
        <v>124.7</v>
      </c>
      <c r="Z100" s="72">
        <v>126.8</v>
      </c>
      <c r="AA100" s="72">
        <v>125.1</v>
      </c>
      <c r="AB100" s="72">
        <v>124.6</v>
      </c>
      <c r="AC100" s="72">
        <v>124.6</v>
      </c>
      <c r="AD100" s="72">
        <v>124.3</v>
      </c>
      <c r="AE100" s="72">
        <v>125.4</v>
      </c>
      <c r="AF100" s="72">
        <v>124.6</v>
      </c>
      <c r="AG100" s="111"/>
      <c r="AH100" s="52">
        <f t="shared" si="12"/>
        <v>128.69999999999999</v>
      </c>
      <c r="AI100" s="53">
        <f t="shared" si="13"/>
        <v>121.2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131</v>
      </c>
      <c r="C101" s="72">
        <v>132.30000000000001</v>
      </c>
      <c r="D101" s="72">
        <v>132.69999999999999</v>
      </c>
      <c r="E101" s="72">
        <v>131.5</v>
      </c>
      <c r="F101" s="72">
        <v>132.4</v>
      </c>
      <c r="G101" s="72">
        <v>131.6</v>
      </c>
      <c r="H101" s="72">
        <v>129.4</v>
      </c>
      <c r="I101" s="72">
        <v>130.6</v>
      </c>
      <c r="J101" s="72">
        <v>128.80000000000001</v>
      </c>
      <c r="K101" s="72">
        <v>128.30000000000001</v>
      </c>
      <c r="L101" s="72">
        <v>129</v>
      </c>
      <c r="M101" s="72">
        <v>127.5</v>
      </c>
      <c r="N101" s="72">
        <v>126.9</v>
      </c>
      <c r="O101" s="72">
        <v>126.7</v>
      </c>
      <c r="P101" s="72">
        <v>127.7</v>
      </c>
      <c r="Q101" s="72">
        <v>127</v>
      </c>
      <c r="R101" s="72">
        <v>127.1</v>
      </c>
      <c r="S101" s="72">
        <v>125.4</v>
      </c>
      <c r="T101" s="72">
        <v>128.4</v>
      </c>
      <c r="U101" s="72">
        <v>128</v>
      </c>
      <c r="V101" s="72">
        <v>127.9</v>
      </c>
      <c r="W101" s="72">
        <v>129.80000000000001</v>
      </c>
      <c r="X101" s="72">
        <v>129.19999999999999</v>
      </c>
      <c r="Y101" s="72">
        <v>127.9</v>
      </c>
      <c r="Z101" s="72">
        <v>129</v>
      </c>
      <c r="AA101" s="72">
        <v>128.30000000000001</v>
      </c>
      <c r="AB101" s="72">
        <v>128</v>
      </c>
      <c r="AC101" s="72">
        <v>128.19999999999999</v>
      </c>
      <c r="AD101" s="72">
        <v>128.19999999999999</v>
      </c>
      <c r="AE101" s="72">
        <v>130</v>
      </c>
      <c r="AF101" s="72">
        <v>129.6</v>
      </c>
      <c r="AG101" s="111"/>
      <c r="AH101" s="52">
        <f t="shared" si="12"/>
        <v>132.69999999999999</v>
      </c>
      <c r="AI101" s="53">
        <f t="shared" si="13"/>
        <v>125.4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133.80000000000001</v>
      </c>
      <c r="C102" s="72">
        <v>134</v>
      </c>
      <c r="D102" s="72">
        <v>134</v>
      </c>
      <c r="E102" s="72">
        <v>133</v>
      </c>
      <c r="F102" s="72">
        <v>133.4</v>
      </c>
      <c r="G102" s="72">
        <v>132.4</v>
      </c>
      <c r="H102" s="72">
        <v>131.80000000000001</v>
      </c>
      <c r="I102" s="72">
        <v>129.80000000000001</v>
      </c>
      <c r="J102" s="72">
        <v>131.4</v>
      </c>
      <c r="K102" s="72">
        <v>128.1</v>
      </c>
      <c r="L102" s="72">
        <v>127.3</v>
      </c>
      <c r="M102" s="72">
        <v>126.3</v>
      </c>
      <c r="N102" s="72">
        <v>125.1</v>
      </c>
      <c r="O102" s="72">
        <v>125.4</v>
      </c>
      <c r="P102" s="72">
        <v>126.6</v>
      </c>
      <c r="Q102" s="72">
        <v>128.80000000000001</v>
      </c>
      <c r="R102" s="72">
        <v>126.6</v>
      </c>
      <c r="S102" s="72">
        <v>123.9</v>
      </c>
      <c r="T102" s="72">
        <v>124.5</v>
      </c>
      <c r="U102" s="72">
        <v>128</v>
      </c>
      <c r="V102" s="72">
        <v>128</v>
      </c>
      <c r="W102" s="72">
        <v>128.19999999999999</v>
      </c>
      <c r="X102" s="72">
        <v>129.30000000000001</v>
      </c>
      <c r="Y102" s="72">
        <v>125.4</v>
      </c>
      <c r="Z102" s="72">
        <v>128.5</v>
      </c>
      <c r="AA102" s="72">
        <v>127.6</v>
      </c>
      <c r="AB102" s="72">
        <v>127.7</v>
      </c>
      <c r="AC102" s="72">
        <v>129.80000000000001</v>
      </c>
      <c r="AD102" s="72">
        <v>130.19999999999999</v>
      </c>
      <c r="AE102" s="72">
        <v>130.69999999999999</v>
      </c>
      <c r="AF102" s="72">
        <v>130.4</v>
      </c>
      <c r="AG102" s="111"/>
      <c r="AH102" s="52">
        <f t="shared" si="12"/>
        <v>134</v>
      </c>
      <c r="AI102" s="53">
        <f t="shared" si="13"/>
        <v>123.9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2"/>
        <v>0</v>
      </c>
      <c r="AI103" s="53">
        <f t="shared" si="13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127.3</v>
      </c>
      <c r="C104" s="113">
        <v>133</v>
      </c>
      <c r="D104" s="113">
        <v>133.5</v>
      </c>
      <c r="E104" s="113">
        <v>132</v>
      </c>
      <c r="F104" s="113">
        <v>132.1</v>
      </c>
      <c r="G104" s="113">
        <v>132.69999999999999</v>
      </c>
      <c r="H104" s="113">
        <v>129.30000000000001</v>
      </c>
      <c r="I104" s="113">
        <v>135</v>
      </c>
      <c r="J104" s="113">
        <v>133.69999999999999</v>
      </c>
      <c r="K104" s="113">
        <v>134.6</v>
      </c>
      <c r="L104" s="113">
        <v>134.19999999999999</v>
      </c>
      <c r="M104" s="113">
        <v>130.6</v>
      </c>
      <c r="N104" s="113">
        <v>134.1</v>
      </c>
      <c r="O104" s="113">
        <v>134.80000000000001</v>
      </c>
      <c r="P104" s="113">
        <v>135.80000000000001</v>
      </c>
      <c r="Q104" s="113">
        <v>133.1</v>
      </c>
      <c r="R104" s="113">
        <v>132.5</v>
      </c>
      <c r="S104" s="113">
        <v>133.5</v>
      </c>
      <c r="T104" s="113">
        <v>132.6</v>
      </c>
      <c r="U104" s="113">
        <v>132</v>
      </c>
      <c r="V104" s="113">
        <v>134.6</v>
      </c>
      <c r="W104" s="113">
        <v>136.6</v>
      </c>
      <c r="X104" s="113">
        <v>133.69999999999999</v>
      </c>
      <c r="Y104" s="113">
        <v>135</v>
      </c>
      <c r="Z104" s="113">
        <v>136</v>
      </c>
      <c r="AA104" s="113">
        <v>135.1</v>
      </c>
      <c r="AB104" s="113">
        <v>133.5</v>
      </c>
      <c r="AC104" s="113">
        <v>133.1</v>
      </c>
      <c r="AD104" s="113">
        <v>131.80000000000001</v>
      </c>
      <c r="AE104" s="113">
        <v>133.1</v>
      </c>
      <c r="AF104" s="113">
        <v>133.30000000000001</v>
      </c>
      <c r="AG104" s="114"/>
      <c r="AH104" s="52">
        <f t="shared" si="12"/>
        <v>136.6</v>
      </c>
      <c r="AI104" s="53">
        <f t="shared" si="13"/>
        <v>127.3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129.19999999999999</v>
      </c>
      <c r="C105" s="72">
        <v>135</v>
      </c>
      <c r="D105" s="72">
        <v>127.3</v>
      </c>
      <c r="E105" s="72">
        <v>133</v>
      </c>
      <c r="F105" s="72">
        <v>130.4</v>
      </c>
      <c r="G105" s="72">
        <v>128.6</v>
      </c>
      <c r="H105" s="72">
        <v>129.80000000000001</v>
      </c>
      <c r="I105" s="72">
        <v>127.6</v>
      </c>
      <c r="J105" s="72">
        <v>127</v>
      </c>
      <c r="K105" s="72">
        <v>132.19999999999999</v>
      </c>
      <c r="L105" s="72">
        <v>134.1</v>
      </c>
      <c r="M105" s="72">
        <v>128.1</v>
      </c>
      <c r="N105" s="72">
        <v>122.7</v>
      </c>
      <c r="O105" s="72">
        <v>133</v>
      </c>
      <c r="P105" s="72">
        <v>133.5</v>
      </c>
      <c r="Q105" s="72">
        <v>131.4</v>
      </c>
      <c r="R105" s="72">
        <v>130.1</v>
      </c>
      <c r="S105" s="72">
        <v>121.4</v>
      </c>
      <c r="T105" s="72">
        <v>135.1</v>
      </c>
      <c r="U105" s="72">
        <v>133</v>
      </c>
      <c r="V105" s="72">
        <v>130</v>
      </c>
      <c r="W105" s="72">
        <v>137</v>
      </c>
      <c r="X105" s="72">
        <v>133.6</v>
      </c>
      <c r="Y105" s="72">
        <v>130</v>
      </c>
      <c r="Z105" s="72">
        <v>122.9</v>
      </c>
      <c r="AA105" s="72">
        <v>127.9</v>
      </c>
      <c r="AB105" s="72">
        <v>133.80000000000001</v>
      </c>
      <c r="AC105" s="72">
        <v>129</v>
      </c>
      <c r="AD105" s="72">
        <v>126.9</v>
      </c>
      <c r="AE105" s="72">
        <v>132.5</v>
      </c>
      <c r="AF105" s="72">
        <v>133.19999999999999</v>
      </c>
      <c r="AG105" s="111"/>
      <c r="AH105" s="52">
        <f t="shared" si="12"/>
        <v>137</v>
      </c>
      <c r="AI105" s="53">
        <f t="shared" si="13"/>
        <v>121.4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65.900000000000006</v>
      </c>
      <c r="C106" s="99">
        <v>67</v>
      </c>
      <c r="D106" s="99">
        <v>66.8</v>
      </c>
      <c r="E106" s="99">
        <v>66.2</v>
      </c>
      <c r="F106" s="99">
        <v>66.2</v>
      </c>
      <c r="G106" s="99">
        <v>66.2</v>
      </c>
      <c r="H106" s="99">
        <v>64.7</v>
      </c>
      <c r="I106" s="99">
        <v>65.3</v>
      </c>
      <c r="J106" s="99">
        <v>64.5</v>
      </c>
      <c r="K106" s="99">
        <v>64.3</v>
      </c>
      <c r="L106" s="99">
        <v>64.5</v>
      </c>
      <c r="M106" s="99">
        <v>63.7</v>
      </c>
      <c r="N106" s="99">
        <v>63.7</v>
      </c>
      <c r="O106" s="99">
        <v>64</v>
      </c>
      <c r="P106" s="99">
        <v>63.7</v>
      </c>
      <c r="Q106" s="99">
        <v>63.9</v>
      </c>
      <c r="R106" s="99">
        <v>63.6</v>
      </c>
      <c r="S106" s="99">
        <v>63.3</v>
      </c>
      <c r="T106" s="99">
        <v>64.5</v>
      </c>
      <c r="U106" s="99">
        <v>64.400000000000006</v>
      </c>
      <c r="V106" s="99">
        <v>64.8</v>
      </c>
      <c r="W106" s="99">
        <v>64.8</v>
      </c>
      <c r="X106" s="99">
        <v>64.7</v>
      </c>
      <c r="Y106" s="99">
        <v>64</v>
      </c>
      <c r="Z106" s="99">
        <v>64.8</v>
      </c>
      <c r="AA106" s="99">
        <v>64.5</v>
      </c>
      <c r="AB106" s="99">
        <v>64.2</v>
      </c>
      <c r="AC106" s="99">
        <v>64.400000000000006</v>
      </c>
      <c r="AD106" s="99">
        <v>64.7</v>
      </c>
      <c r="AE106" s="99">
        <v>65.3</v>
      </c>
      <c r="AF106" s="99">
        <v>65.400000000000006</v>
      </c>
      <c r="AG106" s="115"/>
      <c r="AH106" s="52">
        <f t="shared" si="12"/>
        <v>67</v>
      </c>
      <c r="AI106" s="53">
        <f t="shared" si="13"/>
        <v>63.3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/>
      <c r="AA107" s="99" t="s">
        <v>115</v>
      </c>
      <c r="AB107" s="99"/>
      <c r="AC107" s="99"/>
      <c r="AD107" s="99"/>
      <c r="AE107" s="99"/>
      <c r="AF107" s="99"/>
      <c r="AG107" s="115"/>
      <c r="AH107" s="52">
        <f t="shared" si="12"/>
        <v>0</v>
      </c>
      <c r="AI107" s="53">
        <f t="shared" si="13"/>
        <v>0</v>
      </c>
    </row>
    <row r="108" spans="1:88" ht="15.75" thickBot="1" x14ac:dyDescent="0.3">
      <c r="A108" s="117" t="s">
        <v>116</v>
      </c>
      <c r="B108" s="118">
        <f t="shared" ref="B108:AF108" si="19">SUM(B18,B24,B27:B28,B56,B58:B59,B61,B63,B109:B113,B135,B141,B147,B156,B158,B170,B177,B180:B181,B188,B190,B192,B196:B198,B200:B202,B207,B213:B214,B216:B218,B226,B231)</f>
        <v>88.499999999999986</v>
      </c>
      <c r="C108" s="118">
        <f t="shared" si="19"/>
        <v>94.74</v>
      </c>
      <c r="D108" s="118">
        <f t="shared" si="19"/>
        <v>86.139999999999972</v>
      </c>
      <c r="E108" s="118">
        <f t="shared" si="19"/>
        <v>90.339999999999975</v>
      </c>
      <c r="F108" s="118">
        <f t="shared" si="19"/>
        <v>94.44</v>
      </c>
      <c r="G108" s="118">
        <f t="shared" si="19"/>
        <v>115.34</v>
      </c>
      <c r="H108" s="118">
        <f t="shared" si="19"/>
        <v>148.44</v>
      </c>
      <c r="I108" s="118">
        <f t="shared" si="19"/>
        <v>199.44</v>
      </c>
      <c r="J108" s="118">
        <f t="shared" si="19"/>
        <v>232.54</v>
      </c>
      <c r="K108" s="118">
        <f t="shared" si="19"/>
        <v>266.64</v>
      </c>
      <c r="L108" s="118">
        <f t="shared" si="19"/>
        <v>274.04000000000002</v>
      </c>
      <c r="M108" s="118">
        <f t="shared" si="19"/>
        <v>280.64</v>
      </c>
      <c r="N108" s="118">
        <f t="shared" si="19"/>
        <v>270.94</v>
      </c>
      <c r="O108" s="118">
        <f t="shared" si="19"/>
        <v>272.54000000000002</v>
      </c>
      <c r="P108" s="118">
        <v>42</v>
      </c>
      <c r="Q108" s="118">
        <f t="shared" si="19"/>
        <v>260.7</v>
      </c>
      <c r="R108" s="118">
        <f t="shared" si="19"/>
        <v>249.1</v>
      </c>
      <c r="S108" s="118">
        <f t="shared" si="19"/>
        <v>145.00000000000003</v>
      </c>
      <c r="T108" s="118">
        <f t="shared" si="19"/>
        <v>223.10000000000002</v>
      </c>
      <c r="U108" s="118">
        <f t="shared" si="19"/>
        <v>249</v>
      </c>
      <c r="V108" s="118">
        <f t="shared" si="19"/>
        <v>233.8</v>
      </c>
      <c r="W108" s="118">
        <f t="shared" si="19"/>
        <v>229.1</v>
      </c>
      <c r="X108" s="118">
        <f t="shared" si="19"/>
        <v>247</v>
      </c>
      <c r="Y108" s="118">
        <f t="shared" si="19"/>
        <v>272.2</v>
      </c>
      <c r="Z108" s="118">
        <f t="shared" si="19"/>
        <v>324.10000000000002</v>
      </c>
      <c r="AA108" s="118">
        <v>409.59708333333339</v>
      </c>
      <c r="AB108" s="118">
        <f t="shared" si="19"/>
        <v>286.3</v>
      </c>
      <c r="AC108" s="118">
        <f t="shared" si="19"/>
        <v>273</v>
      </c>
      <c r="AD108" s="118">
        <f t="shared" si="19"/>
        <v>238.3</v>
      </c>
      <c r="AE108" s="118">
        <f t="shared" si="19"/>
        <v>172.7</v>
      </c>
      <c r="AF108" s="118">
        <f t="shared" si="19"/>
        <v>129.30000000000001</v>
      </c>
      <c r="AG108" s="119"/>
      <c r="AH108" s="52">
        <f t="shared" si="12"/>
        <v>409.59708333333339</v>
      </c>
      <c r="AI108" s="53">
        <f t="shared" si="13"/>
        <v>42</v>
      </c>
    </row>
    <row r="109" spans="1:88" x14ac:dyDescent="0.25">
      <c r="A109" s="107" t="s">
        <v>117</v>
      </c>
      <c r="B109" s="120">
        <v>22.4</v>
      </c>
      <c r="C109" s="120">
        <v>-13</v>
      </c>
      <c r="D109" s="120">
        <v>-13.9</v>
      </c>
      <c r="E109" s="120">
        <v>-20.7</v>
      </c>
      <c r="F109" s="120">
        <v>-13.5</v>
      </c>
      <c r="G109" s="120">
        <v>-10.1</v>
      </c>
      <c r="H109" s="120">
        <v>-13.7</v>
      </c>
      <c r="I109" s="120">
        <v>3.3</v>
      </c>
      <c r="J109" s="120">
        <v>6.4</v>
      </c>
      <c r="K109" s="120">
        <v>18.8</v>
      </c>
      <c r="L109" s="120">
        <v>20.5</v>
      </c>
      <c r="M109" s="120">
        <v>25.4</v>
      </c>
      <c r="N109" s="120">
        <v>22</v>
      </c>
      <c r="O109" s="120">
        <v>37.9</v>
      </c>
      <c r="P109" s="120">
        <v>36.4</v>
      </c>
      <c r="Q109" s="120">
        <v>37.1</v>
      </c>
      <c r="R109" s="120">
        <v>33.6</v>
      </c>
      <c r="S109" s="120">
        <v>22.8</v>
      </c>
      <c r="T109" s="120">
        <v>8.8000000000000007</v>
      </c>
      <c r="U109" s="120">
        <v>24</v>
      </c>
      <c r="V109" s="120">
        <v>22</v>
      </c>
      <c r="W109" s="120">
        <v>24</v>
      </c>
      <c r="X109" s="120">
        <v>27.4</v>
      </c>
      <c r="Y109" s="120">
        <v>35.6</v>
      </c>
      <c r="Z109" s="120">
        <v>51.4</v>
      </c>
      <c r="AA109" s="120">
        <v>47.5</v>
      </c>
      <c r="AB109" s="120">
        <v>40.5</v>
      </c>
      <c r="AC109" s="120">
        <v>31.6</v>
      </c>
      <c r="AD109" s="120">
        <v>27.1</v>
      </c>
      <c r="AE109" s="120">
        <v>14.7</v>
      </c>
      <c r="AF109" s="120">
        <v>9.1999999999999993</v>
      </c>
      <c r="AG109" s="121">
        <v>75</v>
      </c>
      <c r="AH109" s="52">
        <f t="shared" si="12"/>
        <v>51.4</v>
      </c>
      <c r="AI109" s="53">
        <f t="shared" si="13"/>
        <v>-20.7</v>
      </c>
    </row>
    <row r="110" spans="1:88" x14ac:dyDescent="0.25">
      <c r="A110" s="110" t="s">
        <v>118</v>
      </c>
      <c r="B110" s="122">
        <v>36</v>
      </c>
      <c r="C110" s="122">
        <v>-10</v>
      </c>
      <c r="D110" s="122">
        <v>-12.4</v>
      </c>
      <c r="E110" s="122">
        <v>-23.7</v>
      </c>
      <c r="F110" s="122">
        <v>-13.5</v>
      </c>
      <c r="G110" s="122">
        <v>-10.9</v>
      </c>
      <c r="H110" s="122">
        <v>-18.5</v>
      </c>
      <c r="I110" s="122">
        <v>0.7</v>
      </c>
      <c r="J110" s="122">
        <v>4.5</v>
      </c>
      <c r="K110" s="122">
        <v>20</v>
      </c>
      <c r="L110" s="122">
        <v>22.1</v>
      </c>
      <c r="M110" s="122">
        <v>31.5</v>
      </c>
      <c r="N110" s="122">
        <v>28.9</v>
      </c>
      <c r="O110" s="122">
        <v>52.4</v>
      </c>
      <c r="P110" s="122">
        <v>54</v>
      </c>
      <c r="Q110" s="122">
        <v>56.5</v>
      </c>
      <c r="R110" s="122">
        <v>52.4</v>
      </c>
      <c r="S110" s="122">
        <v>33.1</v>
      </c>
      <c r="T110" s="122">
        <v>10.4</v>
      </c>
      <c r="U110" s="122">
        <v>16</v>
      </c>
      <c r="V110" s="122">
        <v>27.9</v>
      </c>
      <c r="W110" s="122">
        <v>30</v>
      </c>
      <c r="X110" s="122">
        <v>34.4</v>
      </c>
      <c r="Y110" s="122">
        <v>43.4</v>
      </c>
      <c r="Z110" s="122">
        <v>66.5</v>
      </c>
      <c r="AA110" s="122">
        <v>60.5</v>
      </c>
      <c r="AB110" s="122">
        <v>53.1</v>
      </c>
      <c r="AC110" s="122">
        <v>42.6</v>
      </c>
      <c r="AD110" s="122">
        <v>35.4</v>
      </c>
      <c r="AE110" s="122">
        <v>18</v>
      </c>
      <c r="AF110" s="122">
        <v>15.3</v>
      </c>
      <c r="AG110" s="121">
        <v>240</v>
      </c>
      <c r="AH110" s="52">
        <f t="shared" si="12"/>
        <v>66.5</v>
      </c>
      <c r="AI110" s="53">
        <f t="shared" si="13"/>
        <v>-23.7</v>
      </c>
    </row>
    <row r="111" spans="1:88" x14ac:dyDescent="0.25">
      <c r="A111" s="110" t="s">
        <v>119</v>
      </c>
      <c r="B111" s="122">
        <v>-71</v>
      </c>
      <c r="C111" s="122">
        <v>-62</v>
      </c>
      <c r="D111" s="122">
        <v>-65</v>
      </c>
      <c r="E111" s="122">
        <v>-54</v>
      </c>
      <c r="F111" s="122">
        <v>-58</v>
      </c>
      <c r="G111" s="122">
        <v>-50</v>
      </c>
      <c r="H111" s="122">
        <v>-30.5</v>
      </c>
      <c r="I111" s="122">
        <v>-11.5</v>
      </c>
      <c r="J111" s="122">
        <v>5.3</v>
      </c>
      <c r="K111" s="122">
        <v>8</v>
      </c>
      <c r="L111" s="122">
        <v>21</v>
      </c>
      <c r="M111" s="122">
        <f>5.2+6.2</f>
        <v>11.4</v>
      </c>
      <c r="N111" s="122"/>
      <c r="O111" s="122">
        <f>-11.4-12.6</f>
        <v>-24</v>
      </c>
      <c r="P111" s="122">
        <f>-13.3-14.5</f>
        <v>-27.8</v>
      </c>
      <c r="Q111" s="122">
        <v>-28</v>
      </c>
      <c r="R111" s="122">
        <v>-32</v>
      </c>
      <c r="S111" s="122">
        <f>-9.7-10.5</f>
        <v>-20.2</v>
      </c>
      <c r="T111" s="122">
        <f>-18.1-4.2</f>
        <v>-22.3</v>
      </c>
      <c r="U111" s="122">
        <v>-6</v>
      </c>
      <c r="V111" s="122">
        <f>-13.2-7.9</f>
        <v>-21.1</v>
      </c>
      <c r="W111" s="122">
        <f>-7.9-2.6</f>
        <v>-10.5</v>
      </c>
      <c r="X111" s="122">
        <f>-5.8-1</f>
        <v>-6.8</v>
      </c>
      <c r="Y111" s="122">
        <f>0+3.7</f>
        <v>3.7</v>
      </c>
      <c r="Z111" s="122">
        <f>-9.5-1.4</f>
        <v>-10.9</v>
      </c>
      <c r="AA111" s="122">
        <f>-1+4.5</f>
        <v>3.5</v>
      </c>
      <c r="AB111" s="122">
        <v>5.3</v>
      </c>
      <c r="AC111" s="122">
        <v>-7</v>
      </c>
      <c r="AD111" s="122">
        <v>-22</v>
      </c>
      <c r="AE111" s="122">
        <v>-45</v>
      </c>
      <c r="AF111" s="122">
        <v>-63</v>
      </c>
      <c r="AG111" s="121">
        <v>240</v>
      </c>
      <c r="AH111" s="52">
        <f t="shared" si="12"/>
        <v>21</v>
      </c>
      <c r="AI111" s="53">
        <f t="shared" si="13"/>
        <v>-71</v>
      </c>
    </row>
    <row r="112" spans="1:88" x14ac:dyDescent="0.25">
      <c r="A112" s="110" t="s">
        <v>120</v>
      </c>
      <c r="B112" s="122">
        <v>-1</v>
      </c>
      <c r="C112" s="122">
        <v>-5</v>
      </c>
      <c r="D112" s="122">
        <v>-1.4</v>
      </c>
      <c r="E112" s="122">
        <v>-4.2</v>
      </c>
      <c r="F112" s="122">
        <v>-1.8</v>
      </c>
      <c r="G112" s="122">
        <v>-2.5</v>
      </c>
      <c r="H112" s="122">
        <v>1.5</v>
      </c>
      <c r="I112" s="122">
        <v>6.9</v>
      </c>
      <c r="J112" s="122">
        <v>7</v>
      </c>
      <c r="K112" s="122">
        <v>13.1</v>
      </c>
      <c r="L112" s="122">
        <v>13</v>
      </c>
      <c r="M112" s="122">
        <v>13.6</v>
      </c>
      <c r="N112" s="122">
        <v>9.6</v>
      </c>
      <c r="O112" s="122">
        <v>7</v>
      </c>
      <c r="P112" s="122">
        <v>6.9</v>
      </c>
      <c r="Q112" s="122">
        <v>3.9</v>
      </c>
      <c r="R112" s="122">
        <v>7.7</v>
      </c>
      <c r="S112" s="122">
        <v>8.4</v>
      </c>
      <c r="T112" s="122">
        <v>26.9</v>
      </c>
      <c r="U112" s="122">
        <v>21</v>
      </c>
      <c r="V112" s="122">
        <v>15</v>
      </c>
      <c r="W112" s="122">
        <v>8.9</v>
      </c>
      <c r="X112" s="122">
        <v>12.8</v>
      </c>
      <c r="Y112" s="122">
        <v>11.5</v>
      </c>
      <c r="Z112" s="122">
        <v>24</v>
      </c>
      <c r="AA112" s="122">
        <v>24.6</v>
      </c>
      <c r="AB112" s="122">
        <v>20.100000000000001</v>
      </c>
      <c r="AC112" s="122">
        <v>14</v>
      </c>
      <c r="AD112" s="122">
        <v>11</v>
      </c>
      <c r="AE112" s="122">
        <v>7.2</v>
      </c>
      <c r="AF112" s="122">
        <v>-3</v>
      </c>
      <c r="AG112" s="121">
        <v>60</v>
      </c>
      <c r="AH112" s="52">
        <f t="shared" si="12"/>
        <v>26.9</v>
      </c>
      <c r="AI112" s="53">
        <f t="shared" si="13"/>
        <v>-5</v>
      </c>
    </row>
    <row r="113" spans="1:37" x14ac:dyDescent="0.25">
      <c r="A113" s="123" t="s">
        <v>121</v>
      </c>
      <c r="B113" s="124">
        <v>2.2999999999999998</v>
      </c>
      <c r="C113" s="124">
        <v>84</v>
      </c>
      <c r="D113" s="124">
        <v>78</v>
      </c>
      <c r="E113" s="124">
        <v>94.1</v>
      </c>
      <c r="F113" s="124">
        <v>88.7</v>
      </c>
      <c r="G113" s="124">
        <v>93.7</v>
      </c>
      <c r="H113" s="124">
        <v>112.5</v>
      </c>
      <c r="I113" s="124">
        <v>108</v>
      </c>
      <c r="J113" s="124">
        <v>118.5</v>
      </c>
      <c r="K113" s="124">
        <v>117.9</v>
      </c>
      <c r="L113" s="124">
        <v>107.3</v>
      </c>
      <c r="M113" s="124">
        <v>107.6</v>
      </c>
      <c r="N113" s="124">
        <v>119.3</v>
      </c>
      <c r="O113" s="124">
        <v>105</v>
      </c>
      <c r="P113" s="124">
        <v>100.5</v>
      </c>
      <c r="Q113" s="124">
        <v>95.7</v>
      </c>
      <c r="R113" s="124">
        <v>91.9</v>
      </c>
      <c r="S113" s="124">
        <v>7.4</v>
      </c>
      <c r="T113" s="124">
        <v>105.8</v>
      </c>
      <c r="U113" s="124">
        <v>100</v>
      </c>
      <c r="V113" s="124">
        <v>104.8</v>
      </c>
      <c r="W113" s="124">
        <v>89.5</v>
      </c>
      <c r="X113" s="124">
        <v>92</v>
      </c>
      <c r="Y113" s="124">
        <v>90.8</v>
      </c>
      <c r="Z113" s="124">
        <v>106.1</v>
      </c>
      <c r="AA113" s="124">
        <v>104.4</v>
      </c>
      <c r="AB113" s="124">
        <v>85.5</v>
      </c>
      <c r="AC113" s="124">
        <v>110</v>
      </c>
      <c r="AD113" s="124">
        <v>105</v>
      </c>
      <c r="AE113" s="124">
        <v>96</v>
      </c>
      <c r="AF113" s="124">
        <v>89</v>
      </c>
      <c r="AG113" s="125">
        <v>120</v>
      </c>
      <c r="AH113" s="52">
        <f t="shared" si="12"/>
        <v>119.3</v>
      </c>
      <c r="AI113" s="53">
        <f t="shared" si="13"/>
        <v>2.2999999999999998</v>
      </c>
    </row>
    <row r="114" spans="1:37" x14ac:dyDescent="0.25">
      <c r="A114" s="123" t="s">
        <v>122</v>
      </c>
      <c r="B114" s="124">
        <v>74</v>
      </c>
      <c r="C114" s="124">
        <v>97</v>
      </c>
      <c r="D114" s="124">
        <v>93</v>
      </c>
      <c r="E114" s="124">
        <v>106.8</v>
      </c>
      <c r="F114" s="124">
        <v>102.5</v>
      </c>
      <c r="G114" s="124">
        <v>102.2</v>
      </c>
      <c r="H114" s="124">
        <v>106.9</v>
      </c>
      <c r="I114" s="124">
        <v>95</v>
      </c>
      <c r="J114" s="124">
        <v>92.8</v>
      </c>
      <c r="K114" s="124">
        <v>95.1</v>
      </c>
      <c r="L114" s="124">
        <v>105</v>
      </c>
      <c r="M114" s="124">
        <v>93</v>
      </c>
      <c r="N114" s="124">
        <v>101</v>
      </c>
      <c r="O114" s="124">
        <v>103</v>
      </c>
      <c r="P114" s="124">
        <v>102.1</v>
      </c>
      <c r="Q114" s="124">
        <v>98.2</v>
      </c>
      <c r="R114" s="124">
        <v>94.1</v>
      </c>
      <c r="S114" s="124">
        <v>-25.8</v>
      </c>
      <c r="T114" s="124">
        <v>97.7</v>
      </c>
      <c r="U114" s="124">
        <v>97</v>
      </c>
      <c r="V114" s="124">
        <v>99.7</v>
      </c>
      <c r="W114" s="124">
        <v>90</v>
      </c>
      <c r="X114" s="124">
        <v>79.599999999999994</v>
      </c>
      <c r="Y114" s="124">
        <v>102.3</v>
      </c>
      <c r="Z114" s="124">
        <v>75.8</v>
      </c>
      <c r="AA114" s="124">
        <v>88.5</v>
      </c>
      <c r="AB114" s="124">
        <v>97</v>
      </c>
      <c r="AC114" s="124">
        <v>97.1</v>
      </c>
      <c r="AD114" s="124">
        <v>100</v>
      </c>
      <c r="AE114" s="124">
        <v>103</v>
      </c>
      <c r="AF114" s="124">
        <v>104</v>
      </c>
      <c r="AG114" s="125"/>
      <c r="AH114" s="52">
        <f t="shared" si="12"/>
        <v>106.9</v>
      </c>
      <c r="AI114" s="53">
        <f t="shared" si="13"/>
        <v>-25.8</v>
      </c>
    </row>
    <row r="115" spans="1:37" x14ac:dyDescent="0.25">
      <c r="A115" s="123" t="s">
        <v>123</v>
      </c>
      <c r="B115" s="124">
        <v>55</v>
      </c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>
        <v>11</v>
      </c>
      <c r="AD115" s="124">
        <v>12</v>
      </c>
      <c r="AE115" s="124">
        <v>31</v>
      </c>
      <c r="AF115" s="124">
        <v>44</v>
      </c>
      <c r="AG115" s="126"/>
      <c r="AH115" s="52">
        <f t="shared" si="12"/>
        <v>55</v>
      </c>
      <c r="AI115" s="53">
        <f t="shared" si="13"/>
        <v>11</v>
      </c>
    </row>
    <row r="116" spans="1:37" x14ac:dyDescent="0.25">
      <c r="A116" s="127" t="s">
        <v>124</v>
      </c>
      <c r="B116" s="113">
        <v>16</v>
      </c>
      <c r="C116" s="113">
        <v>18</v>
      </c>
      <c r="D116" s="113">
        <v>18</v>
      </c>
      <c r="E116" s="113">
        <v>18</v>
      </c>
      <c r="F116" s="113">
        <v>14.9</v>
      </c>
      <c r="G116" s="113">
        <v>16.2</v>
      </c>
      <c r="H116" s="113">
        <v>14.4</v>
      </c>
      <c r="I116" s="113">
        <v>9.4</v>
      </c>
      <c r="J116" s="113">
        <v>-2.1</v>
      </c>
      <c r="K116" s="113">
        <v>-9.9</v>
      </c>
      <c r="L116" s="113">
        <v>-12.4</v>
      </c>
      <c r="M116" s="113">
        <v>-10.3</v>
      </c>
      <c r="N116" s="113">
        <v>-6.3</v>
      </c>
      <c r="O116" s="113">
        <v>-12.3</v>
      </c>
      <c r="P116" s="113">
        <v>-10.8</v>
      </c>
      <c r="Q116" s="113">
        <v>-17</v>
      </c>
      <c r="R116" s="113">
        <v>-12.4</v>
      </c>
      <c r="S116" s="113">
        <v>-6.7</v>
      </c>
      <c r="T116" s="113">
        <v>-8.6999999999999993</v>
      </c>
      <c r="U116" s="113">
        <v>-14</v>
      </c>
      <c r="V116" s="113">
        <v>-12.7</v>
      </c>
      <c r="W116" s="113">
        <v>-16</v>
      </c>
      <c r="X116" s="113">
        <v>-22.1</v>
      </c>
      <c r="Y116" s="113">
        <v>-29.5</v>
      </c>
      <c r="Z116" s="113">
        <v>-30.8</v>
      </c>
      <c r="AA116" s="113">
        <v>-27.6</v>
      </c>
      <c r="AB116" s="113">
        <v>-23.7</v>
      </c>
      <c r="AC116" s="113">
        <v>-22</v>
      </c>
      <c r="AD116" s="113">
        <v>-18</v>
      </c>
      <c r="AE116" s="113">
        <v>-9</v>
      </c>
      <c r="AF116" s="113">
        <v>-5</v>
      </c>
      <c r="AG116" s="126"/>
      <c r="AH116" s="52">
        <f t="shared" si="12"/>
        <v>18</v>
      </c>
      <c r="AI116" s="53">
        <f t="shared" si="13"/>
        <v>-30.8</v>
      </c>
    </row>
    <row r="117" spans="1:37" ht="15.75" thickBot="1" x14ac:dyDescent="0.3">
      <c r="A117" s="127" t="s">
        <v>125</v>
      </c>
      <c r="B117" s="113">
        <v>33</v>
      </c>
      <c r="C117" s="113">
        <v>32</v>
      </c>
      <c r="D117" s="113">
        <v>27</v>
      </c>
      <c r="E117" s="113">
        <v>32.4</v>
      </c>
      <c r="F117" s="113">
        <v>36.200000000000003</v>
      </c>
      <c r="G117" s="113">
        <v>32.6</v>
      </c>
      <c r="H117" s="113">
        <v>31.1</v>
      </c>
      <c r="I117" s="113">
        <v>50.2</v>
      </c>
      <c r="J117" s="113">
        <v>55.7</v>
      </c>
      <c r="K117" s="113">
        <v>64</v>
      </c>
      <c r="L117" s="113">
        <v>57</v>
      </c>
      <c r="M117" s="113">
        <v>75</v>
      </c>
      <c r="N117" s="113">
        <v>73.8</v>
      </c>
      <c r="O117" s="113">
        <v>87</v>
      </c>
      <c r="P117" s="113">
        <v>88.6</v>
      </c>
      <c r="Q117" s="113">
        <v>78.7</v>
      </c>
      <c r="R117" s="113">
        <v>86.7</v>
      </c>
      <c r="S117" s="113">
        <v>82.9</v>
      </c>
      <c r="T117" s="113">
        <v>87.2</v>
      </c>
      <c r="U117" s="113">
        <v>76.900000000000006</v>
      </c>
      <c r="V117" s="113">
        <v>80.099999999999994</v>
      </c>
      <c r="W117" s="113">
        <v>81</v>
      </c>
      <c r="X117" s="113">
        <v>80</v>
      </c>
      <c r="Y117" s="113">
        <v>104</v>
      </c>
      <c r="Z117" s="113">
        <v>111.4</v>
      </c>
      <c r="AA117" s="113">
        <v>108.7</v>
      </c>
      <c r="AB117" s="113">
        <v>103</v>
      </c>
      <c r="AC117" s="113">
        <v>96</v>
      </c>
      <c r="AD117" s="113">
        <v>89</v>
      </c>
      <c r="AE117" s="113">
        <v>82</v>
      </c>
      <c r="AF117" s="113">
        <v>77</v>
      </c>
      <c r="AG117" s="126"/>
      <c r="AH117" s="52">
        <f t="shared" si="12"/>
        <v>111.4</v>
      </c>
      <c r="AI117" s="53">
        <f t="shared" si="13"/>
        <v>27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20">SUM(B119:B223)</f>
        <v>0</v>
      </c>
      <c r="C224" s="144">
        <f t="shared" si="20"/>
        <v>0</v>
      </c>
      <c r="D224" s="144">
        <f t="shared" si="20"/>
        <v>0</v>
      </c>
      <c r="E224" s="144">
        <f t="shared" si="20"/>
        <v>0</v>
      </c>
      <c r="F224" s="144">
        <f t="shared" si="20"/>
        <v>0</v>
      </c>
      <c r="G224" s="144">
        <f t="shared" si="20"/>
        <v>0</v>
      </c>
      <c r="H224" s="144">
        <f t="shared" si="20"/>
        <v>0</v>
      </c>
      <c r="I224" s="144">
        <f t="shared" si="20"/>
        <v>0</v>
      </c>
      <c r="J224" s="144">
        <f t="shared" si="20"/>
        <v>0</v>
      </c>
      <c r="K224" s="144">
        <f t="shared" si="20"/>
        <v>0</v>
      </c>
      <c r="L224" s="144">
        <f t="shared" si="20"/>
        <v>0</v>
      </c>
      <c r="M224" s="144">
        <f t="shared" si="20"/>
        <v>0</v>
      </c>
      <c r="N224" s="144">
        <f t="shared" si="20"/>
        <v>0</v>
      </c>
      <c r="O224" s="144">
        <f t="shared" si="20"/>
        <v>0</v>
      </c>
      <c r="P224" s="144">
        <f t="shared" si="20"/>
        <v>0</v>
      </c>
      <c r="Q224" s="144">
        <f t="shared" si="20"/>
        <v>0</v>
      </c>
      <c r="R224" s="144">
        <f t="shared" si="20"/>
        <v>0</v>
      </c>
      <c r="S224" s="144">
        <f t="shared" si="20"/>
        <v>0</v>
      </c>
      <c r="T224" s="144">
        <f t="shared" si="20"/>
        <v>0</v>
      </c>
      <c r="U224" s="144">
        <f t="shared" si="20"/>
        <v>0</v>
      </c>
      <c r="V224" s="144">
        <f t="shared" si="20"/>
        <v>0</v>
      </c>
      <c r="W224" s="144">
        <f t="shared" si="20"/>
        <v>0</v>
      </c>
      <c r="X224" s="144">
        <f t="shared" si="20"/>
        <v>0</v>
      </c>
      <c r="Y224" s="144">
        <f t="shared" si="20"/>
        <v>0</v>
      </c>
      <c r="Z224" s="144">
        <f t="shared" si="20"/>
        <v>0</v>
      </c>
      <c r="AA224" s="144">
        <f t="shared" si="20"/>
        <v>0</v>
      </c>
      <c r="AB224" s="144">
        <f t="shared" si="20"/>
        <v>0</v>
      </c>
      <c r="AC224" s="144">
        <f t="shared" si="20"/>
        <v>0</v>
      </c>
      <c r="AD224" s="144">
        <f t="shared" si="20"/>
        <v>0</v>
      </c>
      <c r="AE224" s="144">
        <f t="shared" si="20"/>
        <v>0</v>
      </c>
      <c r="AF224" s="145">
        <f t="shared" si="20"/>
        <v>0</v>
      </c>
      <c r="AG224" s="146">
        <f t="shared" si="20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21">AF226</f>
        <v>0</v>
      </c>
      <c r="C226" s="149">
        <v>0.3</v>
      </c>
      <c r="D226" s="149">
        <f t="shared" ref="D226:P231" si="22">C226</f>
        <v>0.3</v>
      </c>
      <c r="E226" s="149">
        <f t="shared" si="22"/>
        <v>0.3</v>
      </c>
      <c r="F226" s="149">
        <f t="shared" si="22"/>
        <v>0.3</v>
      </c>
      <c r="G226" s="149">
        <f t="shared" si="22"/>
        <v>0.3</v>
      </c>
      <c r="H226" s="149">
        <f t="shared" si="22"/>
        <v>0.3</v>
      </c>
      <c r="I226" s="149">
        <f t="shared" si="22"/>
        <v>0.3</v>
      </c>
      <c r="J226" s="149">
        <f t="shared" si="22"/>
        <v>0.3</v>
      </c>
      <c r="K226" s="149">
        <f t="shared" si="22"/>
        <v>0.3</v>
      </c>
      <c r="L226" s="149">
        <f t="shared" si="22"/>
        <v>0.3</v>
      </c>
      <c r="M226" s="149">
        <f t="shared" si="22"/>
        <v>0.3</v>
      </c>
      <c r="N226" s="149">
        <f t="shared" si="22"/>
        <v>0.3</v>
      </c>
      <c r="O226" s="149">
        <f t="shared" si="22"/>
        <v>0.3</v>
      </c>
      <c r="P226" s="149">
        <f t="shared" si="22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21"/>
        <v>0</v>
      </c>
      <c r="C227" s="136">
        <v>0.4</v>
      </c>
      <c r="D227" s="136">
        <f t="shared" si="22"/>
        <v>0.4</v>
      </c>
      <c r="E227" s="136">
        <f t="shared" si="22"/>
        <v>0.4</v>
      </c>
      <c r="F227" s="136">
        <f t="shared" si="22"/>
        <v>0.4</v>
      </c>
      <c r="G227" s="136">
        <f t="shared" si="22"/>
        <v>0.4</v>
      </c>
      <c r="H227" s="136">
        <f t="shared" si="22"/>
        <v>0.4</v>
      </c>
      <c r="I227" s="136">
        <f t="shared" si="22"/>
        <v>0.4</v>
      </c>
      <c r="J227" s="136">
        <f t="shared" si="22"/>
        <v>0.4</v>
      </c>
      <c r="K227" s="136">
        <f t="shared" si="22"/>
        <v>0.4</v>
      </c>
      <c r="L227" s="136">
        <f t="shared" si="22"/>
        <v>0.4</v>
      </c>
      <c r="M227" s="136">
        <f t="shared" si="22"/>
        <v>0.4</v>
      </c>
      <c r="N227" s="136">
        <f t="shared" si="22"/>
        <v>0.4</v>
      </c>
      <c r="O227" s="136">
        <f t="shared" si="22"/>
        <v>0.4</v>
      </c>
      <c r="P227" s="136">
        <f t="shared" si="22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21"/>
        <v>0</v>
      </c>
      <c r="C228" s="136">
        <v>1.5</v>
      </c>
      <c r="D228" s="136">
        <f t="shared" si="22"/>
        <v>1.5</v>
      </c>
      <c r="E228" s="136">
        <f t="shared" si="22"/>
        <v>1.5</v>
      </c>
      <c r="F228" s="136">
        <f t="shared" si="22"/>
        <v>1.5</v>
      </c>
      <c r="G228" s="136">
        <f t="shared" si="22"/>
        <v>1.5</v>
      </c>
      <c r="H228" s="136">
        <f t="shared" si="22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22"/>
        <v>1.5</v>
      </c>
      <c r="K228" s="136">
        <f t="shared" ca="1" si="22"/>
        <v>1.5</v>
      </c>
      <c r="L228" s="136">
        <f t="shared" ca="1" si="22"/>
        <v>1.5</v>
      </c>
      <c r="M228" s="136">
        <f t="shared" ca="1" si="22"/>
        <v>1.5</v>
      </c>
      <c r="N228" s="136">
        <f t="shared" ca="1" si="22"/>
        <v>1.5</v>
      </c>
      <c r="O228" s="136">
        <f t="shared" ca="1" si="22"/>
        <v>1.5</v>
      </c>
      <c r="P228" s="136">
        <f t="shared" ca="1" si="22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21"/>
        <v>0</v>
      </c>
      <c r="C229" s="136">
        <v>0.3</v>
      </c>
      <c r="D229" s="136">
        <f t="shared" si="22"/>
        <v>0.3</v>
      </c>
      <c r="E229" s="136">
        <f t="shared" si="22"/>
        <v>0.3</v>
      </c>
      <c r="F229" s="136">
        <f t="shared" si="22"/>
        <v>0.3</v>
      </c>
      <c r="G229" s="136">
        <f t="shared" si="22"/>
        <v>0.3</v>
      </c>
      <c r="H229" s="136">
        <f t="shared" si="22"/>
        <v>0.3</v>
      </c>
      <c r="I229" s="136">
        <f t="shared" si="22"/>
        <v>0.3</v>
      </c>
      <c r="J229" s="136">
        <f t="shared" si="22"/>
        <v>0.3</v>
      </c>
      <c r="K229" s="136">
        <f t="shared" si="22"/>
        <v>0.3</v>
      </c>
      <c r="L229" s="136">
        <f t="shared" si="22"/>
        <v>0.3</v>
      </c>
      <c r="M229" s="136">
        <f t="shared" si="22"/>
        <v>0.3</v>
      </c>
      <c r="N229" s="136">
        <f t="shared" si="22"/>
        <v>0.3</v>
      </c>
      <c r="O229" s="136">
        <f t="shared" si="22"/>
        <v>0.3</v>
      </c>
      <c r="P229" s="136">
        <f t="shared" si="22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21"/>
        <v>0</v>
      </c>
      <c r="C230" s="136">
        <v>0.4</v>
      </c>
      <c r="D230" s="136">
        <f t="shared" si="22"/>
        <v>0.4</v>
      </c>
      <c r="E230" s="136">
        <f t="shared" si="22"/>
        <v>0.4</v>
      </c>
      <c r="F230" s="136">
        <f t="shared" si="22"/>
        <v>0.4</v>
      </c>
      <c r="G230" s="136">
        <f t="shared" si="22"/>
        <v>0.4</v>
      </c>
      <c r="H230" s="136">
        <f t="shared" si="22"/>
        <v>0.4</v>
      </c>
      <c r="I230" s="136">
        <f t="shared" si="22"/>
        <v>0.4</v>
      </c>
      <c r="J230" s="136">
        <f t="shared" si="22"/>
        <v>0.4</v>
      </c>
      <c r="K230" s="136">
        <f t="shared" si="22"/>
        <v>0.4</v>
      </c>
      <c r="L230" s="136">
        <f t="shared" si="22"/>
        <v>0.4</v>
      </c>
      <c r="M230" s="136">
        <f t="shared" si="22"/>
        <v>0.4</v>
      </c>
      <c r="N230" s="136">
        <f t="shared" si="22"/>
        <v>0.4</v>
      </c>
      <c r="O230" s="136">
        <f t="shared" si="22"/>
        <v>0.4</v>
      </c>
      <c r="P230" s="136">
        <f t="shared" si="22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21"/>
        <v>0</v>
      </c>
      <c r="C231" s="140">
        <v>0.64</v>
      </c>
      <c r="D231" s="140">
        <f t="shared" si="22"/>
        <v>0.64</v>
      </c>
      <c r="E231" s="140">
        <f t="shared" si="22"/>
        <v>0.64</v>
      </c>
      <c r="F231" s="140">
        <f t="shared" si="22"/>
        <v>0.64</v>
      </c>
      <c r="G231" s="140">
        <f t="shared" si="22"/>
        <v>0.64</v>
      </c>
      <c r="H231" s="140">
        <f t="shared" si="22"/>
        <v>0.64</v>
      </c>
      <c r="I231" s="140">
        <f t="shared" si="22"/>
        <v>0.64</v>
      </c>
      <c r="J231" s="140">
        <f t="shared" si="22"/>
        <v>0.64</v>
      </c>
      <c r="K231" s="140">
        <f t="shared" si="22"/>
        <v>0.64</v>
      </c>
      <c r="L231" s="140">
        <f t="shared" si="22"/>
        <v>0.64</v>
      </c>
      <c r="M231" s="140">
        <f t="shared" si="22"/>
        <v>0.64</v>
      </c>
      <c r="N231" s="140">
        <f t="shared" si="22"/>
        <v>0.64</v>
      </c>
      <c r="O231" s="140">
        <f t="shared" si="22"/>
        <v>0.64</v>
      </c>
      <c r="P231" s="140">
        <f t="shared" si="22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23">SUM(B226:B231)</f>
        <v>0</v>
      </c>
      <c r="C232" s="144">
        <f t="shared" si="23"/>
        <v>3.54</v>
      </c>
      <c r="D232" s="144">
        <f t="shared" si="23"/>
        <v>3.54</v>
      </c>
      <c r="E232" s="144">
        <f t="shared" si="23"/>
        <v>3.54</v>
      </c>
      <c r="F232" s="144">
        <f t="shared" si="23"/>
        <v>3.54</v>
      </c>
      <c r="G232" s="144">
        <f t="shared" si="23"/>
        <v>3.54</v>
      </c>
      <c r="H232" s="144">
        <f t="shared" si="23"/>
        <v>3.54</v>
      </c>
      <c r="I232" s="144">
        <f t="shared" ca="1" si="23"/>
        <v>3.54</v>
      </c>
      <c r="J232" s="144">
        <f t="shared" ca="1" si="23"/>
        <v>3.54</v>
      </c>
      <c r="K232" s="144">
        <f t="shared" ca="1" si="23"/>
        <v>3.54</v>
      </c>
      <c r="L232" s="144">
        <f t="shared" ca="1" si="23"/>
        <v>3.54</v>
      </c>
      <c r="M232" s="144">
        <f t="shared" ca="1" si="23"/>
        <v>3.54</v>
      </c>
      <c r="N232" s="144">
        <f t="shared" ca="1" si="23"/>
        <v>3.54</v>
      </c>
      <c r="O232" s="144">
        <f t="shared" ca="1" si="23"/>
        <v>3.54</v>
      </c>
      <c r="P232" s="144">
        <f t="shared" ca="1" si="23"/>
        <v>3.54</v>
      </c>
      <c r="Q232" s="144">
        <f t="shared" si="23"/>
        <v>0</v>
      </c>
      <c r="R232" s="144">
        <f t="shared" si="23"/>
        <v>0</v>
      </c>
      <c r="S232" s="144">
        <f t="shared" si="23"/>
        <v>0</v>
      </c>
      <c r="T232" s="144">
        <f t="shared" si="23"/>
        <v>0</v>
      </c>
      <c r="U232" s="144">
        <f t="shared" si="23"/>
        <v>0</v>
      </c>
      <c r="V232" s="144">
        <f t="shared" si="23"/>
        <v>0</v>
      </c>
      <c r="W232" s="144">
        <f t="shared" si="23"/>
        <v>0</v>
      </c>
      <c r="X232" s="144">
        <f t="shared" si="23"/>
        <v>0</v>
      </c>
      <c r="Y232" s="144">
        <f t="shared" si="23"/>
        <v>0</v>
      </c>
      <c r="Z232" s="144">
        <f t="shared" si="23"/>
        <v>0</v>
      </c>
      <c r="AA232" s="144">
        <f t="shared" si="23"/>
        <v>0</v>
      </c>
      <c r="AB232" s="144">
        <f t="shared" si="23"/>
        <v>0</v>
      </c>
      <c r="AC232" s="144">
        <f t="shared" si="23"/>
        <v>0</v>
      </c>
      <c r="AD232" s="144">
        <f t="shared" si="23"/>
        <v>0</v>
      </c>
      <c r="AE232" s="144">
        <f t="shared" si="23"/>
        <v>0</v>
      </c>
      <c r="AF232" s="144">
        <f t="shared" si="23"/>
        <v>0</v>
      </c>
      <c r="AG232" s="154">
        <f t="shared" si="23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1361.04</v>
      </c>
      <c r="C241" s="170">
        <f>INDEX(G9:N9,1,MATCH(MAX(G89:N89),G89:N89,0))</f>
        <v>0.375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19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2079/12/19)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2079/12/19)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24">B89</f>
        <v>1017.3399999999999</v>
      </c>
      <c r="U246" s="180">
        <f t="shared" si="24"/>
        <v>1019.94</v>
      </c>
      <c r="V246" s="180">
        <f t="shared" si="24"/>
        <v>1007.5400000000001</v>
      </c>
      <c r="W246" s="180">
        <f t="shared" si="24"/>
        <v>1027.94</v>
      </c>
      <c r="X246" s="180">
        <f t="shared" si="24"/>
        <v>1023.24</v>
      </c>
      <c r="Y246" s="180">
        <f t="shared" si="24"/>
        <v>1030.74</v>
      </c>
      <c r="Z246" s="180">
        <f t="shared" si="24"/>
        <v>1095.3399999999999</v>
      </c>
      <c r="AA246" s="180">
        <f t="shared" si="24"/>
        <v>1181.8400000000001</v>
      </c>
      <c r="AB246" s="180">
        <f t="shared" si="24"/>
        <v>1248.8399999999999</v>
      </c>
      <c r="AC246" s="180">
        <f t="shared" si="24"/>
        <v>1303.3399999999999</v>
      </c>
      <c r="AD246" s="180">
        <f t="shared" si="24"/>
        <v>1310.8400000000001</v>
      </c>
      <c r="AE246" s="180">
        <f t="shared" si="24"/>
        <v>1347.44</v>
      </c>
      <c r="AF246" s="180">
        <f t="shared" si="24"/>
        <v>1361.04</v>
      </c>
      <c r="AG246" s="180">
        <f t="shared" si="24"/>
        <v>1395.1399999999999</v>
      </c>
      <c r="AH246" s="180">
        <f t="shared" si="24"/>
        <v>1346.7400000000002</v>
      </c>
      <c r="AI246" s="180">
        <f t="shared" si="24"/>
        <v>1370.3400000000001</v>
      </c>
      <c r="AJ246" s="180">
        <f t="shared" si="24"/>
        <v>1360.74</v>
      </c>
      <c r="AK246" s="180">
        <f t="shared" si="24"/>
        <v>1434.6399999999999</v>
      </c>
      <c r="AL246" s="180">
        <f t="shared" si="24"/>
        <v>1423.44</v>
      </c>
      <c r="AM246" s="180">
        <f t="shared" si="24"/>
        <v>1352.54</v>
      </c>
      <c r="AN246" s="180">
        <f t="shared" si="24"/>
        <v>1276.44</v>
      </c>
      <c r="AO246" s="180">
        <f t="shared" si="24"/>
        <v>1271.24</v>
      </c>
      <c r="AP246" s="180">
        <f t="shared" si="24"/>
        <v>1226.04</v>
      </c>
      <c r="AQ246" s="180">
        <f t="shared" si="24"/>
        <v>1369.54</v>
      </c>
      <c r="AR246" s="180">
        <f t="shared" si="24"/>
        <v>1491.94</v>
      </c>
      <c r="AS246" s="180">
        <f t="shared" si="24"/>
        <v>1546.8100000000002</v>
      </c>
      <c r="AT246" s="180">
        <f t="shared" si="24"/>
        <v>1461.1399999999999</v>
      </c>
      <c r="AU246" s="180">
        <f t="shared" si="24"/>
        <v>1354.04</v>
      </c>
      <c r="AV246" s="180">
        <f t="shared" si="24"/>
        <v>1323.04</v>
      </c>
      <c r="AW246" s="180">
        <f t="shared" si="24"/>
        <v>1255.04</v>
      </c>
      <c r="AX246" s="180">
        <f t="shared" si="24"/>
        <v>1194.94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25">C231</f>
        <v>0.64</v>
      </c>
      <c r="C267" s="183">
        <f t="shared" si="25"/>
        <v>0.64</v>
      </c>
      <c r="D267" s="183">
        <f t="shared" si="25"/>
        <v>0.64</v>
      </c>
      <c r="E267" s="183">
        <f t="shared" si="25"/>
        <v>0.64</v>
      </c>
      <c r="F267" s="183">
        <f t="shared" si="25"/>
        <v>0.64</v>
      </c>
      <c r="G267" s="183">
        <f t="shared" si="25"/>
        <v>0.64</v>
      </c>
      <c r="H267" s="183">
        <f t="shared" si="25"/>
        <v>0.64</v>
      </c>
      <c r="I267" s="183">
        <f t="shared" si="25"/>
        <v>0.64</v>
      </c>
      <c r="J267" s="183">
        <f t="shared" si="25"/>
        <v>0.64</v>
      </c>
      <c r="K267" s="183">
        <f t="shared" si="25"/>
        <v>0.64</v>
      </c>
      <c r="L267" s="183">
        <f t="shared" si="25"/>
        <v>0.64</v>
      </c>
      <c r="M267" s="183">
        <f t="shared" si="25"/>
        <v>0.64</v>
      </c>
      <c r="N267" s="183">
        <f t="shared" si="25"/>
        <v>0.64</v>
      </c>
      <c r="O267" s="183">
        <f t="shared" si="25"/>
        <v>0.64</v>
      </c>
      <c r="P267" s="183">
        <f t="shared" si="25"/>
        <v>0</v>
      </c>
      <c r="Q267" s="183">
        <f t="shared" si="25"/>
        <v>0</v>
      </c>
      <c r="R267" s="183">
        <f t="shared" si="25"/>
        <v>0</v>
      </c>
      <c r="S267" s="183">
        <f t="shared" si="25"/>
        <v>0</v>
      </c>
      <c r="T267" s="183">
        <f t="shared" si="25"/>
        <v>0</v>
      </c>
      <c r="U267" s="183">
        <f t="shared" si="25"/>
        <v>0</v>
      </c>
      <c r="V267" s="183">
        <f t="shared" si="25"/>
        <v>0</v>
      </c>
      <c r="W267" s="183">
        <f t="shared" si="25"/>
        <v>0</v>
      </c>
      <c r="X267" s="183">
        <f t="shared" si="25"/>
        <v>0</v>
      </c>
      <c r="Y267" s="183">
        <f t="shared" si="25"/>
        <v>0</v>
      </c>
      <c r="Z267" s="183">
        <f t="shared" si="25"/>
        <v>0</v>
      </c>
      <c r="AA267" s="183">
        <f t="shared" si="25"/>
        <v>0</v>
      </c>
      <c r="AB267" s="183">
        <f t="shared" si="25"/>
        <v>0</v>
      </c>
      <c r="AC267" s="183">
        <f t="shared" si="25"/>
        <v>0</v>
      </c>
      <c r="AD267" s="183">
        <f t="shared" si="25"/>
        <v>0</v>
      </c>
      <c r="AE267" s="183">
        <f t="shared" si="25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26">IF(B235&lt;100,"",B235-520)</f>
        <v/>
      </c>
      <c r="C268" s="184" t="str">
        <f t="shared" si="26"/>
        <v/>
      </c>
      <c r="D268" s="184" t="str">
        <f t="shared" si="26"/>
        <v/>
      </c>
      <c r="E268" s="184" t="str">
        <f t="shared" si="26"/>
        <v/>
      </c>
      <c r="F268" s="184" t="str">
        <f t="shared" si="26"/>
        <v/>
      </c>
      <c r="G268" s="184" t="str">
        <f t="shared" si="26"/>
        <v/>
      </c>
      <c r="H268" s="184" t="str">
        <f t="shared" si="26"/>
        <v/>
      </c>
      <c r="I268" s="184" t="str">
        <f t="shared" si="26"/>
        <v/>
      </c>
      <c r="J268" s="184" t="str">
        <f t="shared" si="26"/>
        <v/>
      </c>
      <c r="K268" s="184" t="str">
        <f t="shared" si="26"/>
        <v/>
      </c>
      <c r="L268" s="184" t="str">
        <f t="shared" si="26"/>
        <v/>
      </c>
      <c r="M268" s="184" t="str">
        <f t="shared" si="26"/>
        <v/>
      </c>
      <c r="N268" s="184" t="str">
        <f t="shared" si="26"/>
        <v/>
      </c>
      <c r="O268" s="184" t="str">
        <f t="shared" si="26"/>
        <v/>
      </c>
      <c r="P268" s="184" t="str">
        <f t="shared" si="26"/>
        <v/>
      </c>
      <c r="Q268" s="184" t="str">
        <f t="shared" si="26"/>
        <v/>
      </c>
      <c r="R268" s="184" t="str">
        <f t="shared" si="26"/>
        <v/>
      </c>
      <c r="S268" s="184" t="str">
        <f t="shared" si="26"/>
        <v/>
      </c>
      <c r="T268" s="184" t="str">
        <f t="shared" si="26"/>
        <v/>
      </c>
      <c r="U268" s="184" t="str">
        <f t="shared" si="26"/>
        <v/>
      </c>
      <c r="V268" s="184" t="str">
        <f t="shared" si="26"/>
        <v/>
      </c>
      <c r="W268" s="184" t="str">
        <f t="shared" si="26"/>
        <v/>
      </c>
      <c r="X268" s="184" t="str">
        <f t="shared" si="26"/>
        <v/>
      </c>
      <c r="Y268" s="184" t="str">
        <f t="shared" si="26"/>
        <v/>
      </c>
      <c r="Z268" s="184" t="str">
        <f t="shared" si="26"/>
        <v/>
      </c>
      <c r="AA268" s="184" t="str">
        <f t="shared" si="26"/>
        <v/>
      </c>
      <c r="AB268" s="184" t="str">
        <f t="shared" si="26"/>
        <v/>
      </c>
      <c r="AC268" s="184" t="str">
        <f t="shared" si="26"/>
        <v/>
      </c>
      <c r="AD268" s="184" t="str">
        <f t="shared" si="26"/>
        <v/>
      </c>
      <c r="AE268" s="184" t="str">
        <f t="shared" si="26"/>
        <v/>
      </c>
      <c r="AF268" s="184" t="str">
        <f t="shared" si="26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27">IF(B236&lt;100,"",B236-620)</f>
        <v/>
      </c>
      <c r="C269" s="184" t="str">
        <f t="shared" si="27"/>
        <v/>
      </c>
      <c r="D269" s="184" t="str">
        <f t="shared" si="27"/>
        <v/>
      </c>
      <c r="E269" s="184" t="str">
        <f t="shared" si="27"/>
        <v/>
      </c>
      <c r="F269" s="184" t="str">
        <f t="shared" si="27"/>
        <v/>
      </c>
      <c r="G269" s="184" t="str">
        <f t="shared" si="27"/>
        <v/>
      </c>
      <c r="H269" s="184" t="str">
        <f t="shared" si="27"/>
        <v/>
      </c>
      <c r="I269" s="184" t="str">
        <f t="shared" si="27"/>
        <v/>
      </c>
      <c r="J269" s="184" t="str">
        <f t="shared" si="27"/>
        <v/>
      </c>
      <c r="K269" s="184" t="str">
        <f t="shared" si="27"/>
        <v/>
      </c>
      <c r="L269" s="184" t="str">
        <f t="shared" si="27"/>
        <v/>
      </c>
      <c r="M269" s="184" t="str">
        <f t="shared" si="27"/>
        <v/>
      </c>
      <c r="N269" s="184" t="str">
        <f t="shared" si="27"/>
        <v/>
      </c>
      <c r="O269" s="184" t="str">
        <f t="shared" si="27"/>
        <v/>
      </c>
      <c r="P269" s="184" t="str">
        <f t="shared" si="27"/>
        <v/>
      </c>
      <c r="Q269" s="184" t="str">
        <f t="shared" si="27"/>
        <v/>
      </c>
      <c r="R269" s="184" t="str">
        <f t="shared" si="27"/>
        <v/>
      </c>
      <c r="S269" s="184" t="str">
        <f t="shared" si="27"/>
        <v/>
      </c>
      <c r="T269" s="184" t="str">
        <f t="shared" si="27"/>
        <v/>
      </c>
      <c r="U269" s="184" t="str">
        <f t="shared" si="27"/>
        <v/>
      </c>
      <c r="V269" s="184" t="str">
        <f t="shared" si="27"/>
        <v/>
      </c>
      <c r="W269" s="184" t="str">
        <f t="shared" si="27"/>
        <v/>
      </c>
      <c r="X269" s="184" t="str">
        <f t="shared" si="27"/>
        <v/>
      </c>
      <c r="Y269" s="184" t="str">
        <f t="shared" si="27"/>
        <v/>
      </c>
      <c r="Z269" s="184" t="str">
        <f t="shared" si="27"/>
        <v/>
      </c>
      <c r="AA269" s="184" t="str">
        <f t="shared" si="27"/>
        <v/>
      </c>
      <c r="AB269" s="184" t="str">
        <f t="shared" si="27"/>
        <v/>
      </c>
      <c r="AC269" s="184" t="str">
        <f t="shared" si="27"/>
        <v/>
      </c>
      <c r="AD269" s="184" t="str">
        <f t="shared" si="27"/>
        <v/>
      </c>
      <c r="AE269" s="184" t="str">
        <f t="shared" si="27"/>
        <v/>
      </c>
      <c r="AF269" s="184" t="str">
        <f t="shared" si="27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28">IF(B237&lt;100,"",B237-330)</f>
        <v/>
      </c>
      <c r="C270" s="184" t="str">
        <f t="shared" si="28"/>
        <v/>
      </c>
      <c r="D270" s="184" t="str">
        <f t="shared" si="28"/>
        <v/>
      </c>
      <c r="E270" s="184" t="str">
        <f t="shared" si="28"/>
        <v/>
      </c>
      <c r="F270" s="184" t="str">
        <f t="shared" si="28"/>
        <v/>
      </c>
      <c r="G270" s="184" t="str">
        <f t="shared" si="28"/>
        <v/>
      </c>
      <c r="H270" s="184" t="str">
        <f t="shared" si="28"/>
        <v/>
      </c>
      <c r="I270" s="184" t="str">
        <f t="shared" si="28"/>
        <v/>
      </c>
      <c r="J270" s="184" t="str">
        <f t="shared" si="28"/>
        <v/>
      </c>
      <c r="K270" s="184" t="str">
        <f t="shared" si="28"/>
        <v/>
      </c>
      <c r="L270" s="184" t="str">
        <f t="shared" si="28"/>
        <v/>
      </c>
      <c r="M270" s="184" t="str">
        <f t="shared" si="28"/>
        <v/>
      </c>
      <c r="N270" s="184" t="str">
        <f t="shared" si="28"/>
        <v/>
      </c>
      <c r="O270" s="184" t="str">
        <f t="shared" si="28"/>
        <v/>
      </c>
      <c r="P270" s="184" t="str">
        <f t="shared" si="28"/>
        <v/>
      </c>
      <c r="Q270" s="184" t="str">
        <f t="shared" si="28"/>
        <v/>
      </c>
      <c r="R270" s="184" t="str">
        <f t="shared" si="28"/>
        <v/>
      </c>
      <c r="S270" s="184" t="str">
        <f t="shared" si="28"/>
        <v/>
      </c>
      <c r="T270" s="184" t="str">
        <f t="shared" si="28"/>
        <v/>
      </c>
      <c r="U270" s="184" t="str">
        <f t="shared" si="28"/>
        <v/>
      </c>
      <c r="V270" s="184" t="str">
        <f t="shared" si="28"/>
        <v/>
      </c>
      <c r="W270" s="184" t="str">
        <f t="shared" si="28"/>
        <v/>
      </c>
      <c r="X270" s="184" t="str">
        <f t="shared" si="28"/>
        <v/>
      </c>
      <c r="Y270" s="184" t="str">
        <f t="shared" si="28"/>
        <v/>
      </c>
      <c r="Z270" s="184" t="str">
        <f t="shared" si="28"/>
        <v/>
      </c>
      <c r="AA270" s="184" t="str">
        <f t="shared" si="28"/>
        <v/>
      </c>
      <c r="AB270" s="184" t="str">
        <f t="shared" si="28"/>
        <v/>
      </c>
      <c r="AC270" s="184" t="str">
        <f t="shared" si="28"/>
        <v/>
      </c>
      <c r="AD270" s="184" t="str">
        <f t="shared" si="28"/>
        <v/>
      </c>
      <c r="AE270" s="184" t="str">
        <f t="shared" si="28"/>
        <v/>
      </c>
      <c r="AF270" s="184" t="str">
        <f t="shared" si="28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29">IF(B238&lt;100,"",B238-1500)</f>
        <v/>
      </c>
      <c r="C271" s="184" t="str">
        <f t="shared" si="29"/>
        <v/>
      </c>
      <c r="D271" s="184" t="str">
        <f t="shared" si="29"/>
        <v/>
      </c>
      <c r="E271" s="184" t="str">
        <f t="shared" si="29"/>
        <v/>
      </c>
      <c r="F271" s="184" t="str">
        <f t="shared" si="29"/>
        <v/>
      </c>
      <c r="G271" s="184" t="str">
        <f t="shared" si="29"/>
        <v/>
      </c>
      <c r="H271" s="184" t="str">
        <f t="shared" si="29"/>
        <v/>
      </c>
      <c r="I271" s="184" t="str">
        <f t="shared" si="29"/>
        <v/>
      </c>
      <c r="J271" s="184" t="str">
        <f t="shared" si="29"/>
        <v/>
      </c>
      <c r="K271" s="184" t="str">
        <f t="shared" si="29"/>
        <v/>
      </c>
      <c r="L271" s="184" t="str">
        <f t="shared" si="29"/>
        <v/>
      </c>
      <c r="M271" s="184" t="str">
        <f t="shared" si="29"/>
        <v/>
      </c>
      <c r="N271" s="184" t="str">
        <f t="shared" si="29"/>
        <v/>
      </c>
      <c r="O271" s="184" t="str">
        <f t="shared" si="29"/>
        <v/>
      </c>
      <c r="P271" s="184" t="str">
        <f t="shared" si="29"/>
        <v/>
      </c>
      <c r="Q271" s="184" t="str">
        <f t="shared" si="29"/>
        <v/>
      </c>
      <c r="R271" s="184" t="str">
        <f t="shared" si="29"/>
        <v/>
      </c>
      <c r="S271" s="184" t="str">
        <f t="shared" si="29"/>
        <v/>
      </c>
      <c r="T271" s="184" t="str">
        <f t="shared" si="29"/>
        <v/>
      </c>
      <c r="U271" s="184" t="str">
        <f t="shared" si="29"/>
        <v/>
      </c>
      <c r="V271" s="184" t="str">
        <f t="shared" si="29"/>
        <v/>
      </c>
      <c r="W271" s="184" t="str">
        <f t="shared" si="29"/>
        <v/>
      </c>
      <c r="X271" s="184" t="str">
        <f t="shared" si="29"/>
        <v/>
      </c>
      <c r="Y271" s="184" t="str">
        <f t="shared" si="29"/>
        <v/>
      </c>
      <c r="Z271" s="184" t="str">
        <f t="shared" si="29"/>
        <v/>
      </c>
      <c r="AA271" s="184" t="str">
        <f t="shared" si="29"/>
        <v/>
      </c>
      <c r="AB271" s="184" t="str">
        <f t="shared" si="29"/>
        <v/>
      </c>
      <c r="AC271" s="184" t="str">
        <f t="shared" si="29"/>
        <v/>
      </c>
      <c r="AD271" s="184" t="str">
        <f t="shared" si="29"/>
        <v/>
      </c>
      <c r="AE271" s="184" t="str">
        <f t="shared" si="29"/>
        <v/>
      </c>
      <c r="AF271" s="184" t="str">
        <f t="shared" si="29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3447" priority="339">
      <formula>B$9&gt;=20/24</formula>
    </cfRule>
    <cfRule type="expression" dxfId="3446" priority="340">
      <formula>AND(B$9&gt;=14/24,B$9&lt;20/24)</formula>
    </cfRule>
    <cfRule type="expression" dxfId="3445" priority="341">
      <formula>AND(B$9&gt;=8/24,B$9&lt;14/24)</formula>
    </cfRule>
    <cfRule type="expression" dxfId="3444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3443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3442" priority="336">
      <formula>$AH12=0</formula>
    </cfRule>
  </conditionalFormatting>
  <conditionalFormatting sqref="A114">
    <cfRule type="expression" dxfId="3441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3440" priority="333">
      <formula>$AH45=0</formula>
    </cfRule>
  </conditionalFormatting>
  <conditionalFormatting sqref="A98">
    <cfRule type="expression" dxfId="3439" priority="332">
      <formula>$AH98=0</formula>
    </cfRule>
  </conditionalFormatting>
  <conditionalFormatting sqref="A18">
    <cfRule type="expression" dxfId="3438" priority="331">
      <formula>$AH18=0</formula>
    </cfRule>
  </conditionalFormatting>
  <conditionalFormatting sqref="A196:A201">
    <cfRule type="expression" dxfId="3437" priority="330">
      <formula>$AH196=0</formula>
    </cfRule>
  </conditionalFormatting>
  <conditionalFormatting sqref="A190:A195">
    <cfRule type="expression" dxfId="3436" priority="329">
      <formula>$AH190=0</formula>
    </cfRule>
  </conditionalFormatting>
  <conditionalFormatting sqref="A58">
    <cfRule type="expression" dxfId="3435" priority="328">
      <formula>$AH58=0</formula>
    </cfRule>
  </conditionalFormatting>
  <conditionalFormatting sqref="A94">
    <cfRule type="expression" dxfId="3434" priority="327">
      <formula>$AH94=0</formula>
    </cfRule>
  </conditionalFormatting>
  <conditionalFormatting sqref="AD99:AF99 E99:X99">
    <cfRule type="expression" dxfId="3433" priority="323">
      <formula>E$9&gt;=20/24</formula>
    </cfRule>
    <cfRule type="expression" dxfId="3432" priority="324">
      <formula>AND(E$9&gt;=14/24,E$9&lt;20/24)</formula>
    </cfRule>
    <cfRule type="expression" dxfId="3431" priority="325">
      <formula>AND(E$9&gt;=8/24,E$9&lt;14/24)</formula>
    </cfRule>
    <cfRule type="expression" dxfId="3430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429" priority="345">
      <formula>C$9&gt;=20/24</formula>
    </cfRule>
    <cfRule type="expression" dxfId="3428" priority="346">
      <formula>AND(C$9&gt;=14/24,C$9&lt;20/24)</formula>
    </cfRule>
    <cfRule type="expression" dxfId="3427" priority="347">
      <formula>AND(C$9&gt;=8/24,C$9&lt;14/24)</formula>
    </cfRule>
    <cfRule type="expression" dxfId="3426" priority="348">
      <formula>C$9&lt;8/24</formula>
    </cfRule>
  </conditionalFormatting>
  <conditionalFormatting sqref="A233">
    <cfRule type="expression" dxfId="3425" priority="349">
      <formula>$AH233=0</formula>
    </cfRule>
  </conditionalFormatting>
  <conditionalFormatting sqref="AG245">
    <cfRule type="expression" dxfId="3424" priority="350">
      <formula>B$9&gt;=20/24</formula>
    </cfRule>
    <cfRule type="expression" dxfId="3423" priority="351">
      <formula>AND(B$9&gt;=14/24,B$9&lt;20/24)</formula>
    </cfRule>
    <cfRule type="expression" dxfId="3422" priority="352">
      <formula>AND(B$9&gt;=8/24,B$9&lt;14/24)</formula>
    </cfRule>
    <cfRule type="expression" dxfId="3421" priority="353">
      <formula>B$9&lt;8/24</formula>
    </cfRule>
  </conditionalFormatting>
  <conditionalFormatting sqref="S8">
    <cfRule type="expression" dxfId="3420" priority="318">
      <formula>U$9&gt;=20/24</formula>
    </cfRule>
    <cfRule type="expression" dxfId="3419" priority="319">
      <formula>AND(U$9&gt;=14/24,U$9&lt;20/24)</formula>
    </cfRule>
    <cfRule type="expression" dxfId="3418" priority="320">
      <formula>AND(U$9&gt;=8/24,U$9&lt;14/24)</formula>
    </cfRule>
    <cfRule type="expression" dxfId="3417" priority="321">
      <formula>U$9&lt;8/24</formula>
    </cfRule>
  </conditionalFormatting>
  <conditionalFormatting sqref="AB8">
    <cfRule type="expression" dxfId="3416" priority="314">
      <formula>AD$9&gt;=20/24</formula>
    </cfRule>
    <cfRule type="expression" dxfId="3415" priority="315">
      <formula>AND(AD$9&gt;=14/24,AD$9&lt;20/24)</formula>
    </cfRule>
    <cfRule type="expression" dxfId="3414" priority="316">
      <formula>AND(AD$9&gt;=8/24,AD$9&lt;14/24)</formula>
    </cfRule>
    <cfRule type="expression" dxfId="3413" priority="317">
      <formula>AD$9&lt;8/24</formula>
    </cfRule>
  </conditionalFormatting>
  <conditionalFormatting sqref="AH245:AX245">
    <cfRule type="expression" dxfId="3412" priority="354">
      <formula>AG$9&gt;=20/24</formula>
    </cfRule>
    <cfRule type="expression" dxfId="3411" priority="355">
      <formula>AND(AG$9&gt;=14/24,AG$9&lt;20/24)</formula>
    </cfRule>
    <cfRule type="expression" dxfId="3410" priority="356">
      <formula>AND(AG$9&gt;=8/24,AG$9&lt;14/24)</formula>
    </cfRule>
    <cfRule type="expression" dxfId="3409" priority="357">
      <formula>AG$9&lt;8/24</formula>
    </cfRule>
  </conditionalFormatting>
  <conditionalFormatting sqref="T245">
    <cfRule type="expression" dxfId="3408" priority="358">
      <formula>AX$9&gt;=20/24</formula>
    </cfRule>
    <cfRule type="expression" dxfId="3407" priority="359">
      <formula>AND(AX$9&gt;=14/24,AX$9&lt;20/24)</formula>
    </cfRule>
    <cfRule type="expression" dxfId="3406" priority="360">
      <formula>AND(AX$9&gt;=8/24,AX$9&lt;14/24)</formula>
    </cfRule>
    <cfRule type="expression" dxfId="3405" priority="361">
      <formula>AX$9&lt;8/24</formula>
    </cfRule>
  </conditionalFormatting>
  <conditionalFormatting sqref="A115:A116">
    <cfRule type="expression" dxfId="3404" priority="313">
      <formula>$AH115=0</formula>
    </cfRule>
  </conditionalFormatting>
  <conditionalFormatting sqref="O54:T58 U58 AB54:AF57 E71:AF71">
    <cfRule type="expression" dxfId="3403" priority="309">
      <formula>E$9&gt;=20/24</formula>
    </cfRule>
    <cfRule type="expression" dxfId="3402" priority="310">
      <formula>AND(E$9&gt;=14/24,E$9&lt;20/24)</formula>
    </cfRule>
    <cfRule type="expression" dxfId="3401" priority="311">
      <formula>AND(E$9&gt;=8/24,E$9&lt;14/24)</formula>
    </cfRule>
    <cfRule type="expression" dxfId="3400" priority="312">
      <formula>E$9&lt;8/24</formula>
    </cfRule>
  </conditionalFormatting>
  <conditionalFormatting sqref="O53:T53 AB53:AF53">
    <cfRule type="expression" dxfId="3399" priority="305">
      <formula>O$9&gt;=20/24</formula>
    </cfRule>
    <cfRule type="expression" dxfId="3398" priority="306">
      <formula>AND(O$9&gt;=14/24,O$9&lt;20/24)</formula>
    </cfRule>
    <cfRule type="expression" dxfId="3397" priority="307">
      <formula>AND(O$9&gt;=8/24,O$9&lt;14/24)</formula>
    </cfRule>
    <cfRule type="expression" dxfId="3396" priority="308">
      <formula>O$9&lt;8/24</formula>
    </cfRule>
  </conditionalFormatting>
  <conditionalFormatting sqref="O53:T58 U58 AB53:AF57">
    <cfRule type="expression" dxfId="3395" priority="304">
      <formula>O53&gt;$AG53</formula>
    </cfRule>
  </conditionalFormatting>
  <conditionalFormatting sqref="D86:AF86 X96:AF96 AD100:AF106 N100:X106 E72:AB73 AA74:AB74 X47:AF47 X67:AF69 AC72:AF74">
    <cfRule type="expression" dxfId="3394" priority="300">
      <formula>D$9&gt;=20/24</formula>
    </cfRule>
    <cfRule type="expression" dxfId="3393" priority="301">
      <formula>AND(D$9&gt;=14/24,D$9&lt;20/24)</formula>
    </cfRule>
    <cfRule type="expression" dxfId="3392" priority="302">
      <formula>AND(D$9&gt;=8/24,D$9&lt;14/24)</formula>
    </cfRule>
    <cfRule type="expression" dxfId="3391" priority="303">
      <formula>D$9&lt;8/24</formula>
    </cfRule>
  </conditionalFormatting>
  <conditionalFormatting sqref="X47:AF47 X67:AF69">
    <cfRule type="expression" dxfId="3390" priority="299">
      <formula>X47&gt;$AG47</formula>
    </cfRule>
  </conditionalFormatting>
  <conditionalFormatting sqref="V58 U53:V57 W53:AA58">
    <cfRule type="expression" dxfId="3389" priority="295">
      <formula>U$9&gt;=20/24</formula>
    </cfRule>
    <cfRule type="expression" dxfId="3388" priority="296">
      <formula>AND(U$9&gt;=14/24,U$9&lt;20/24)</formula>
    </cfRule>
    <cfRule type="expression" dxfId="3387" priority="297">
      <formula>AND(U$9&gt;=8/24,U$9&lt;14/24)</formula>
    </cfRule>
    <cfRule type="expression" dxfId="3386" priority="298">
      <formula>U$9&lt;8/24</formula>
    </cfRule>
  </conditionalFormatting>
  <conditionalFormatting sqref="V58 U53:V57 W53:AA58">
    <cfRule type="expression" dxfId="3385" priority="294">
      <formula>U53&gt;$AG53</formula>
    </cfRule>
  </conditionalFormatting>
  <conditionalFormatting sqref="C97:AF97 D88:AF88">
    <cfRule type="expression" dxfId="3384" priority="290">
      <formula>C$9&gt;=20/24</formula>
    </cfRule>
    <cfRule type="expression" dxfId="3383" priority="291">
      <formula>AND(C$9&gt;=14/24,C$9&lt;20/24)</formula>
    </cfRule>
    <cfRule type="expression" dxfId="3382" priority="292">
      <formula>AND(C$9&gt;=8/24,C$9&lt;14/24)</formula>
    </cfRule>
    <cfRule type="expression" dxfId="3381" priority="293">
      <formula>C$9&lt;8/24</formula>
    </cfRule>
  </conditionalFormatting>
  <conditionalFormatting sqref="T47:W47">
    <cfRule type="expression" dxfId="3380" priority="286">
      <formula>T$9&gt;=20/24</formula>
    </cfRule>
    <cfRule type="expression" dxfId="3379" priority="287">
      <formula>AND(T$9&gt;=14/24,T$9&lt;20/24)</formula>
    </cfRule>
    <cfRule type="expression" dxfId="3378" priority="288">
      <formula>AND(T$9&gt;=8/24,T$9&lt;14/24)</formula>
    </cfRule>
    <cfRule type="expression" dxfId="3377" priority="289">
      <formula>T$9&lt;8/24</formula>
    </cfRule>
  </conditionalFormatting>
  <conditionalFormatting sqref="T47:W47">
    <cfRule type="expression" dxfId="3376" priority="285">
      <formula>T47&gt;$AG47</formula>
    </cfRule>
  </conditionalFormatting>
  <conditionalFormatting sqref="E54:N55">
    <cfRule type="expression" dxfId="3375" priority="281">
      <formula>E$9&gt;=20/24</formula>
    </cfRule>
    <cfRule type="expression" dxfId="3374" priority="282">
      <formula>AND(E$9&gt;=14/24,E$9&lt;20/24)</formula>
    </cfRule>
    <cfRule type="expression" dxfId="3373" priority="283">
      <formula>AND(E$9&gt;=8/24,E$9&lt;14/24)</formula>
    </cfRule>
    <cfRule type="expression" dxfId="3372" priority="284">
      <formula>E$9&lt;8/24</formula>
    </cfRule>
  </conditionalFormatting>
  <conditionalFormatting sqref="E53:N53">
    <cfRule type="expression" dxfId="3371" priority="277">
      <formula>E$9&gt;=20/24</formula>
    </cfRule>
    <cfRule type="expression" dxfId="3370" priority="278">
      <formula>AND(E$9&gt;=14/24,E$9&lt;20/24)</formula>
    </cfRule>
    <cfRule type="expression" dxfId="3369" priority="279">
      <formula>AND(E$9&gt;=8/24,E$9&lt;14/24)</formula>
    </cfRule>
    <cfRule type="expression" dxfId="3368" priority="280">
      <formula>E$9&lt;8/24</formula>
    </cfRule>
  </conditionalFormatting>
  <conditionalFormatting sqref="E53:N55">
    <cfRule type="expression" dxfId="3367" priority="276">
      <formula>E53&gt;$AG53</formula>
    </cfRule>
  </conditionalFormatting>
  <conditionalFormatting sqref="AG70 AG87 E100:M106 S67:W69">
    <cfRule type="expression" dxfId="3366" priority="272">
      <formula>E$9&gt;=20/24</formula>
    </cfRule>
    <cfRule type="expression" dxfId="3365" priority="273">
      <formula>AND(E$9&gt;=14/24,E$9&lt;20/24)</formula>
    </cfRule>
    <cfRule type="expression" dxfId="3364" priority="274">
      <formula>AND(E$9&gt;=8/24,E$9&lt;14/24)</formula>
    </cfRule>
    <cfRule type="expression" dxfId="3363" priority="275">
      <formula>E$9&lt;8/24</formula>
    </cfRule>
  </conditionalFormatting>
  <conditionalFormatting sqref="AG48 AG66 AG70 S67:W69">
    <cfRule type="expression" dxfId="3362" priority="271">
      <formula>S48&gt;$AG48</formula>
    </cfRule>
  </conditionalFormatting>
  <conditionalFormatting sqref="AB58:AF58">
    <cfRule type="expression" dxfId="3361" priority="267">
      <formula>AB$9&gt;=20/24</formula>
    </cfRule>
    <cfRule type="expression" dxfId="3360" priority="268">
      <formula>AND(AB$9&gt;=14/24,AB$9&lt;20/24)</formula>
    </cfRule>
    <cfRule type="expression" dxfId="3359" priority="269">
      <formula>AND(AB$9&gt;=8/24,AB$9&lt;14/24)</formula>
    </cfRule>
    <cfRule type="expression" dxfId="3358" priority="270">
      <formula>AB$9&lt;8/24</formula>
    </cfRule>
  </conditionalFormatting>
  <conditionalFormatting sqref="AB58:AF58">
    <cfRule type="expression" dxfId="3357" priority="266">
      <formula>AB58&gt;$AG58</formula>
    </cfRule>
  </conditionalFormatting>
  <conditionalFormatting sqref="A43">
    <cfRule type="expression" dxfId="3356" priority="265">
      <formula>$AH43=0</formula>
    </cfRule>
  </conditionalFormatting>
  <conditionalFormatting sqref="X91:AF95">
    <cfRule type="expression" dxfId="3355" priority="261">
      <formula>X$9&gt;=20/24</formula>
    </cfRule>
    <cfRule type="expression" dxfId="3354" priority="262">
      <formula>AND(X$9&gt;=14/24,X$9&lt;20/24)</formula>
    </cfRule>
    <cfRule type="expression" dxfId="3353" priority="263">
      <formula>AND(X$9&gt;=8/24,X$9&lt;14/24)</formula>
    </cfRule>
    <cfRule type="expression" dxfId="3352" priority="264">
      <formula>X$9&lt;8/24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3351" priority="257">
      <formula>E$9&gt;=20/24</formula>
    </cfRule>
    <cfRule type="expression" dxfId="3350" priority="258">
      <formula>AND(E$9&gt;=14/24,E$9&lt;20/24)</formula>
    </cfRule>
    <cfRule type="expression" dxfId="3349" priority="259">
      <formula>AND(E$9&gt;=8/24,E$9&lt;14/24)</formula>
    </cfRule>
    <cfRule type="expression" dxfId="3348" priority="260">
      <formula>E$9&lt;8/24</formula>
    </cfRule>
  </conditionalFormatting>
  <conditionalFormatting sqref="E49:AF51">
    <cfRule type="expression" dxfId="3347" priority="256">
      <formula>E49&gt;$AG49</formula>
    </cfRule>
  </conditionalFormatting>
  <conditionalFormatting sqref="AG52">
    <cfRule type="expression" dxfId="3346" priority="252">
      <formula>AG$9&gt;=20/24</formula>
    </cfRule>
    <cfRule type="expression" dxfId="3345" priority="253">
      <formula>AND(AG$9&gt;=14/24,AG$9&lt;20/24)</formula>
    </cfRule>
    <cfRule type="expression" dxfId="3344" priority="254">
      <formula>AND(AG$9&gt;=8/24,AG$9&lt;14/24)</formula>
    </cfRule>
    <cfRule type="expression" dxfId="3343" priority="255">
      <formula>AG$9&lt;8/24</formula>
    </cfRule>
  </conditionalFormatting>
  <conditionalFormatting sqref="AG52">
    <cfRule type="expression" dxfId="3342" priority="251">
      <formula>AG52&gt;$AG52</formula>
    </cfRule>
  </conditionalFormatting>
  <conditionalFormatting sqref="C107:AF107">
    <cfRule type="expression" dxfId="3341" priority="247">
      <formula>C$9&gt;=20/24</formula>
    </cfRule>
    <cfRule type="expression" dxfId="3340" priority="248">
      <formula>AND(C$9&gt;=14/24,C$9&lt;20/24)</formula>
    </cfRule>
    <cfRule type="expression" dxfId="3339" priority="249">
      <formula>AND(C$9&gt;=8/24,C$9&lt;14/24)</formula>
    </cfRule>
    <cfRule type="expression" dxfId="3338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3337" priority="245">
      <formula>$AH40=0</formula>
    </cfRule>
  </conditionalFormatting>
  <conditionalFormatting sqref="A90">
    <cfRule type="expression" dxfId="3336" priority="243">
      <formula>$AH90=0</formula>
    </cfRule>
  </conditionalFormatting>
  <conditionalFormatting sqref="A87">
    <cfRule type="expression" dxfId="3335" priority="244">
      <formula>$AH87=0</formula>
    </cfRule>
  </conditionalFormatting>
  <conditionalFormatting sqref="D110:AF110">
    <cfRule type="expression" dxfId="3334" priority="239">
      <formula>D$9&gt;=20/24</formula>
    </cfRule>
    <cfRule type="expression" dxfId="3333" priority="240">
      <formula>AND(D$9&gt;=14/24,D$9&lt;20/24)</formula>
    </cfRule>
    <cfRule type="expression" dxfId="3332" priority="241">
      <formula>AND(D$9&gt;=8/24,D$9&lt;14/24)</formula>
    </cfRule>
    <cfRule type="expression" dxfId="3331" priority="242">
      <formula>D$9&lt;8/24</formula>
    </cfRule>
  </conditionalFormatting>
  <conditionalFormatting sqref="A110">
    <cfRule type="expression" dxfId="3330" priority="238">
      <formula>$AH110=0</formula>
    </cfRule>
  </conditionalFormatting>
  <conditionalFormatting sqref="A21">
    <cfRule type="expression" dxfId="3329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328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3327" priority="230">
      <formula>Y$9&gt;=20/24</formula>
    </cfRule>
    <cfRule type="expression" dxfId="3326" priority="231">
      <formula>AND(Y$9&gt;=14/24,Y$9&lt;20/24)</formula>
    </cfRule>
    <cfRule type="expression" dxfId="3325" priority="232">
      <formula>AND(Y$9&gt;=8/24,Y$9&lt;14/24)</formula>
    </cfRule>
    <cfRule type="expression" dxfId="3324" priority="233">
      <formula>Y$9&lt;8/24</formula>
    </cfRule>
  </conditionalFormatting>
  <conditionalFormatting sqref="Y100:AC106">
    <cfRule type="expression" dxfId="3323" priority="226">
      <formula>Y$9&gt;=20/24</formula>
    </cfRule>
    <cfRule type="expression" dxfId="3322" priority="227">
      <formula>AND(Y$9&gt;=14/24,Y$9&lt;20/24)</formula>
    </cfRule>
    <cfRule type="expression" dxfId="3321" priority="228">
      <formula>AND(Y$9&gt;=8/24,Y$9&lt;14/24)</formula>
    </cfRule>
    <cfRule type="expression" dxfId="3320" priority="229">
      <formula>Y$9&lt;8/24</formula>
    </cfRule>
  </conditionalFormatting>
  <conditionalFormatting sqref="C109 C111:C116 AA34:AF43 AA17:AF32">
    <cfRule type="expression" dxfId="3319" priority="222">
      <formula>C$9&gt;=20/24</formula>
    </cfRule>
    <cfRule type="expression" dxfId="3318" priority="223">
      <formula>AND(C$9&gt;=14/24,C$9&lt;20/24)</formula>
    </cfRule>
    <cfRule type="expression" dxfId="3317" priority="224">
      <formula>AND(C$9&gt;=8/24,C$9&lt;14/24)</formula>
    </cfRule>
    <cfRule type="expression" dxfId="3316" priority="225">
      <formula>C$9&lt;8/24</formula>
    </cfRule>
  </conditionalFormatting>
  <conditionalFormatting sqref="C47:S47">
    <cfRule type="expression" dxfId="3315" priority="218">
      <formula>C$9&gt;=20/24</formula>
    </cfRule>
    <cfRule type="expression" dxfId="3314" priority="219">
      <formula>AND(C$9&gt;=14/24,C$9&lt;20/24)</formula>
    </cfRule>
    <cfRule type="expression" dxfId="3313" priority="220">
      <formula>AND(C$9&gt;=8/24,C$9&lt;14/24)</formula>
    </cfRule>
    <cfRule type="expression" dxfId="3312" priority="221">
      <formula>C$9&lt;8/24</formula>
    </cfRule>
  </conditionalFormatting>
  <conditionalFormatting sqref="C47:S47 AA34:AF43 AA17:AF32">
    <cfRule type="expression" dxfId="3311" priority="217">
      <formula>C17&gt;$AG17</formula>
    </cfRule>
  </conditionalFormatting>
  <conditionalFormatting sqref="C99:D99">
    <cfRule type="expression" dxfId="3310" priority="213">
      <formula>C$9&gt;=20/24</formula>
    </cfRule>
    <cfRule type="expression" dxfId="3309" priority="214">
      <formula>AND(C$9&gt;=14/24,C$9&lt;20/24)</formula>
    </cfRule>
    <cfRule type="expression" dxfId="3308" priority="215">
      <formula>AND(C$9&gt;=8/24,C$9&lt;14/24)</formula>
    </cfRule>
    <cfRule type="expression" dxfId="3307" priority="216">
      <formula>C$9&lt;8/24</formula>
    </cfRule>
  </conditionalFormatting>
  <conditionalFormatting sqref="C86 C96:W96 C83:AF85 D100:D106 E74:M75 E76:L76 M76:M81 N74:N81 O77:O81 E67:R69 O74:Z76 AA75:AF76">
    <cfRule type="expression" dxfId="3306" priority="209">
      <formula>C$9&gt;=20/24</formula>
    </cfRule>
    <cfRule type="expression" dxfId="3305" priority="210">
      <formula>AND(C$9&gt;=14/24,C$9&lt;20/24)</formula>
    </cfRule>
    <cfRule type="expression" dxfId="3304" priority="211">
      <formula>AND(C$9&gt;=8/24,C$9&lt;14/24)</formula>
    </cfRule>
    <cfRule type="expression" dxfId="3303" priority="212">
      <formula>C$9&lt;8/24</formula>
    </cfRule>
  </conditionalFormatting>
  <conditionalFormatting sqref="E56:N57 E67:R69">
    <cfRule type="expression" dxfId="3302" priority="208">
      <formula>E56&gt;$AG56</formula>
    </cfRule>
  </conditionalFormatting>
  <conditionalFormatting sqref="E58:N58">
    <cfRule type="expression" dxfId="3301" priority="204">
      <formula>E$9&gt;=20/24</formula>
    </cfRule>
    <cfRule type="expression" dxfId="3300" priority="205">
      <formula>AND(E$9&gt;=14/24,E$9&lt;20/24)</formula>
    </cfRule>
    <cfRule type="expression" dxfId="3299" priority="206">
      <formula>AND(E$9&gt;=8/24,E$9&lt;14/24)</formula>
    </cfRule>
    <cfRule type="expression" dxfId="3298" priority="207">
      <formula>E$9&lt;8/24</formula>
    </cfRule>
  </conditionalFormatting>
  <conditionalFormatting sqref="E58:N58">
    <cfRule type="expression" dxfId="3297" priority="203">
      <formula>E58&gt;$AG58</formula>
    </cfRule>
  </conditionalFormatting>
  <conditionalFormatting sqref="B71:D71 B54:D57">
    <cfRule type="expression" dxfId="3296" priority="132">
      <formula>B$9&gt;=20/24</formula>
    </cfRule>
    <cfRule type="expression" dxfId="3295" priority="133">
      <formula>AND(B$9&gt;=14/24,B$9&lt;20/24)</formula>
    </cfRule>
    <cfRule type="expression" dxfId="3294" priority="134">
      <formula>AND(B$9&gt;=8/24,B$9&lt;14/24)</formula>
    </cfRule>
    <cfRule type="expression" dxfId="3293" priority="135">
      <formula>B$9&lt;8/24</formula>
    </cfRule>
  </conditionalFormatting>
  <conditionalFormatting sqref="C87:AF87 C89:AF89 C98:AF98 C70:AF70">
    <cfRule type="expression" dxfId="3292" priority="199">
      <formula>C$9&gt;=20/24</formula>
    </cfRule>
    <cfRule type="expression" dxfId="3291" priority="200">
      <formula>AND(C$9&gt;=14/24,C$9&lt;20/24)</formula>
    </cfRule>
    <cfRule type="expression" dxfId="3290" priority="201">
      <formula>AND(C$9&gt;=8/24,C$9&lt;14/24)</formula>
    </cfRule>
    <cfRule type="expression" dxfId="3289" priority="202">
      <formula>C$9&lt;8/24</formula>
    </cfRule>
  </conditionalFormatting>
  <conditionalFormatting sqref="C70:AF70 C65:AF66">
    <cfRule type="expression" dxfId="3288" priority="198">
      <formula>C65&gt;$AG65</formula>
    </cfRule>
  </conditionalFormatting>
  <conditionalFormatting sqref="C82:AF82">
    <cfRule type="expression" dxfId="3287" priority="194">
      <formula>C$9&gt;=20/24</formula>
    </cfRule>
    <cfRule type="expression" dxfId="3286" priority="195">
      <formula>AND(C$9&gt;=14/24,C$9&lt;20/24)</formula>
    </cfRule>
    <cfRule type="expression" dxfId="3285" priority="196">
      <formula>AND(C$9&gt;=8/24,C$9&lt;14/24)</formula>
    </cfRule>
    <cfRule type="expression" dxfId="3284" priority="197">
      <formula>C$9&lt;8/24</formula>
    </cfRule>
  </conditionalFormatting>
  <conditionalFormatting sqref="C91:W95">
    <cfRule type="expression" dxfId="3283" priority="190">
      <formula>C$9&gt;=20/24</formula>
    </cfRule>
    <cfRule type="expression" dxfId="3282" priority="191">
      <formula>AND(C$9&gt;=14/24,C$9&lt;20/24)</formula>
    </cfRule>
    <cfRule type="expression" dxfId="3281" priority="192">
      <formula>AND(C$9&gt;=8/24,C$9&lt;14/24)</formula>
    </cfRule>
    <cfRule type="expression" dxfId="3280" priority="193">
      <formula>C$9&lt;8/24</formula>
    </cfRule>
  </conditionalFormatting>
  <conditionalFormatting sqref="C52:AF52">
    <cfRule type="expression" dxfId="3279" priority="186">
      <formula>C$9&gt;=20/24</formula>
    </cfRule>
    <cfRule type="expression" dxfId="3278" priority="187">
      <formula>AND(C$9&gt;=14/24,C$9&lt;20/24)</formula>
    </cfRule>
    <cfRule type="expression" dxfId="3277" priority="188">
      <formula>AND(C$9&gt;=8/24,C$9&lt;14/24)</formula>
    </cfRule>
    <cfRule type="expression" dxfId="3276" priority="189">
      <formula>C$9&lt;8/24</formula>
    </cfRule>
  </conditionalFormatting>
  <conditionalFormatting sqref="C52:AF52">
    <cfRule type="expression" dxfId="3275" priority="185">
      <formula>C52&gt;$AG52</formula>
    </cfRule>
  </conditionalFormatting>
  <conditionalFormatting sqref="B49:D51">
    <cfRule type="expression" dxfId="3274" priority="100">
      <formula>B$9&gt;=20/24</formula>
    </cfRule>
    <cfRule type="expression" dxfId="3273" priority="101">
      <formula>AND(B$9&gt;=14/24,B$9&lt;20/24)</formula>
    </cfRule>
    <cfRule type="expression" dxfId="3272" priority="102">
      <formula>AND(B$9&gt;=8/24,B$9&lt;14/24)</formula>
    </cfRule>
    <cfRule type="expression" dxfId="3271" priority="103">
      <formula>B$9&lt;8/24</formula>
    </cfRule>
  </conditionalFormatting>
  <conditionalFormatting sqref="C110">
    <cfRule type="expression" dxfId="3270" priority="177">
      <formula>C$9&gt;=20/24</formula>
    </cfRule>
    <cfRule type="expression" dxfId="3269" priority="178">
      <formula>AND(C$9&gt;=14/24,C$9&lt;20/24)</formula>
    </cfRule>
    <cfRule type="expression" dxfId="3268" priority="179">
      <formula>AND(C$9&gt;=8/24,C$9&lt;14/24)</formula>
    </cfRule>
    <cfRule type="expression" dxfId="3267" priority="180">
      <formula>C$9&lt;8/24</formula>
    </cfRule>
  </conditionalFormatting>
  <conditionalFormatting sqref="O59:AF64">
    <cfRule type="expression" dxfId="3266" priority="173">
      <formula>O$9&gt;=20/24</formula>
    </cfRule>
    <cfRule type="expression" dxfId="3265" priority="174">
      <formula>AND(O$9&gt;=14/24,O$9&lt;20/24)</formula>
    </cfRule>
    <cfRule type="expression" dxfId="3264" priority="175">
      <formula>AND(O$9&gt;=8/24,O$9&lt;14/24)</formula>
    </cfRule>
    <cfRule type="expression" dxfId="3263" priority="176">
      <formula>O$9&lt;8/24</formula>
    </cfRule>
  </conditionalFormatting>
  <conditionalFormatting sqref="O59:AF64">
    <cfRule type="expression" dxfId="3262" priority="172">
      <formula>O59&gt;$AG59</formula>
    </cfRule>
  </conditionalFormatting>
  <conditionalFormatting sqref="AA45:AF45 AA13:AF15">
    <cfRule type="expression" dxfId="3261" priority="171">
      <formula>AA13&gt;$AG13</formula>
    </cfRule>
  </conditionalFormatting>
  <conditionalFormatting sqref="AA12:AF12">
    <cfRule type="expression" dxfId="3260" priority="167">
      <formula>AA$9&gt;=20/24</formula>
    </cfRule>
    <cfRule type="expression" dxfId="3259" priority="168">
      <formula>AND(AA$9&gt;=14/24,AA$9&lt;20/24)</formula>
    </cfRule>
    <cfRule type="expression" dxfId="3258" priority="169">
      <formula>AND(AA$9&gt;=8/24,AA$9&lt;14/24)</formula>
    </cfRule>
    <cfRule type="expression" dxfId="3257" priority="170">
      <formula>AA$9&lt;8/24</formula>
    </cfRule>
  </conditionalFormatting>
  <conditionalFormatting sqref="AA12:AF12">
    <cfRule type="expression" dxfId="3256" priority="166">
      <formula>AA12&gt;$AG12</formula>
    </cfRule>
  </conditionalFormatting>
  <conditionalFormatting sqref="AA13:AF15">
    <cfRule type="expression" dxfId="3255" priority="162">
      <formula>AA$9&gt;=20/24</formula>
    </cfRule>
    <cfRule type="expression" dxfId="3254" priority="163">
      <formula>AND(AA$9&gt;=14/24,AA$9&lt;20/24)</formula>
    </cfRule>
    <cfRule type="expression" dxfId="3253" priority="164">
      <formula>AND(AA$9&gt;=8/24,AA$9&lt;14/24)</formula>
    </cfRule>
    <cfRule type="expression" dxfId="3252" priority="165">
      <formula>AA$9&lt;8/24</formula>
    </cfRule>
  </conditionalFormatting>
  <conditionalFormatting sqref="AA45:AF45">
    <cfRule type="expression" dxfId="3251" priority="158">
      <formula>AA$9&gt;=20/24</formula>
    </cfRule>
    <cfRule type="expression" dxfId="3250" priority="159">
      <formula>AND(AA$9&gt;=14/24,AA$9&lt;20/24)</formula>
    </cfRule>
    <cfRule type="expression" dxfId="3249" priority="160">
      <formula>AND(AA$9&gt;=8/24,AA$9&lt;14/24)</formula>
    </cfRule>
    <cfRule type="expression" dxfId="3248" priority="161">
      <formula>AA$9&lt;8/24</formula>
    </cfRule>
  </conditionalFormatting>
  <conditionalFormatting sqref="E77:L81 P77:AF81">
    <cfRule type="expression" dxfId="3247" priority="154">
      <formula>E$9&gt;=20/24</formula>
    </cfRule>
    <cfRule type="expression" dxfId="3246" priority="155">
      <formula>AND(E$9&gt;=14/24,E$9&lt;20/24)</formula>
    </cfRule>
    <cfRule type="expression" dxfId="3245" priority="156">
      <formula>AND(E$9&gt;=8/24,E$9&lt;14/24)</formula>
    </cfRule>
    <cfRule type="expression" dxfId="3244" priority="157">
      <formula>E$9&lt;8/24</formula>
    </cfRule>
  </conditionalFormatting>
  <conditionalFormatting sqref="AL78:AN78 AL84:AN84 AN79:AN80">
    <cfRule type="expression" dxfId="3243" priority="150">
      <formula>AL$9&gt;=20/24</formula>
    </cfRule>
    <cfRule type="expression" dxfId="3242" priority="151">
      <formula>AND(AL$9&gt;=14/24,AL$9&lt;20/24)</formula>
    </cfRule>
    <cfRule type="expression" dxfId="3241" priority="152">
      <formula>AND(AL$9&gt;=8/24,AL$9&lt;14/24)</formula>
    </cfRule>
    <cfRule type="expression" dxfId="3240" priority="153">
      <formula>AL$9&lt;8/24</formula>
    </cfRule>
  </conditionalFormatting>
  <conditionalFormatting sqref="AN81:AN82">
    <cfRule type="expression" dxfId="3239" priority="146">
      <formula>AN$9&gt;=20/24</formula>
    </cfRule>
    <cfRule type="expression" dxfId="3238" priority="147">
      <formula>AND(AN$9&gt;=14/24,AN$9&lt;20/24)</formula>
    </cfRule>
    <cfRule type="expression" dxfId="3237" priority="148">
      <formula>AND(AN$9&gt;=8/24,AN$9&lt;14/24)</formula>
    </cfRule>
    <cfRule type="expression" dxfId="3236" priority="149">
      <formula>AN$9&lt;8/24</formula>
    </cfRule>
  </conditionalFormatting>
  <conditionalFormatting sqref="AL79:AM83">
    <cfRule type="expression" dxfId="3235" priority="363">
      <formula>AJ$9&gt;=20/24</formula>
    </cfRule>
    <cfRule type="expression" dxfId="3234" priority="364">
      <formula>AND(AJ$9&gt;=14/24,AJ$9&lt;20/24)</formula>
    </cfRule>
    <cfRule type="expression" dxfId="3233" priority="365">
      <formula>AND(AJ$9&gt;=8/24,AJ$9&lt;14/24)</formula>
    </cfRule>
    <cfRule type="expression" dxfId="3232" priority="366">
      <formula>AJ$9&lt;8/24</formula>
    </cfRule>
  </conditionalFormatting>
  <conditionalFormatting sqref="A117">
    <cfRule type="expression" dxfId="3231" priority="145">
      <formula>$AH117=0</formula>
    </cfRule>
  </conditionalFormatting>
  <conditionalFormatting sqref="B109 B111:B116 B12:Z15 B34:Z43 B45:Z45 B17:Z32">
    <cfRule type="expression" dxfId="3230" priority="141">
      <formula>B$9&gt;=20/24</formula>
    </cfRule>
    <cfRule type="expression" dxfId="3229" priority="142">
      <formula>AND(B$9&gt;=14/24,B$9&lt;20/24)</formula>
    </cfRule>
    <cfRule type="expression" dxfId="3228" priority="143">
      <formula>AND(B$9&gt;=8/24,B$9&lt;14/24)</formula>
    </cfRule>
    <cfRule type="expression" dxfId="3227" priority="144">
      <formula>B$9&lt;8/24</formula>
    </cfRule>
  </conditionalFormatting>
  <conditionalFormatting sqref="B12:Z15 B34:Z43 B45:Z45 B17:Z32">
    <cfRule type="expression" dxfId="3226" priority="140">
      <formula>B12&gt;$AG12</formula>
    </cfRule>
  </conditionalFormatting>
  <conditionalFormatting sqref="B99">
    <cfRule type="expression" dxfId="3225" priority="136">
      <formula>B$9&gt;=20/24</formula>
    </cfRule>
    <cfRule type="expression" dxfId="3224" priority="137">
      <formula>AND(B$9&gt;=14/24,B$9&lt;20/24)</formula>
    </cfRule>
    <cfRule type="expression" dxfId="3223" priority="138">
      <formula>AND(B$9&gt;=8/24,B$9&lt;14/24)</formula>
    </cfRule>
    <cfRule type="expression" dxfId="3222" priority="139">
      <formula>B$9&lt;8/24</formula>
    </cfRule>
  </conditionalFormatting>
  <conditionalFormatting sqref="B53:D53">
    <cfRule type="expression" dxfId="3221" priority="128">
      <formula>B$9&gt;=20/24</formula>
    </cfRule>
    <cfRule type="expression" dxfId="3220" priority="129">
      <formula>AND(B$9&gt;=14/24,B$9&lt;20/24)</formula>
    </cfRule>
    <cfRule type="expression" dxfId="3219" priority="130">
      <formula>AND(B$9&gt;=8/24,B$9&lt;14/24)</formula>
    </cfRule>
    <cfRule type="expression" dxfId="3218" priority="131">
      <formula>B$9&lt;8/24</formula>
    </cfRule>
  </conditionalFormatting>
  <conditionalFormatting sqref="B53:D57">
    <cfRule type="expression" dxfId="3217" priority="127">
      <formula>B53&gt;$AG53</formula>
    </cfRule>
  </conditionalFormatting>
  <conditionalFormatting sqref="B96 B86 B47 B72:D74 B100:C106 B67:D69">
    <cfRule type="expression" dxfId="3216" priority="123">
      <formula>B$9&gt;=20/24</formula>
    </cfRule>
    <cfRule type="expression" dxfId="3215" priority="124">
      <formula>AND(B$9&gt;=14/24,B$9&lt;20/24)</formula>
    </cfRule>
    <cfRule type="expression" dxfId="3214" priority="125">
      <formula>AND(B$9&gt;=8/24,B$9&lt;14/24)</formula>
    </cfRule>
    <cfRule type="expression" dxfId="3213" priority="126">
      <formula>B$9&lt;8/24</formula>
    </cfRule>
  </conditionalFormatting>
  <conditionalFormatting sqref="B47 B67:D69">
    <cfRule type="expression" dxfId="3212" priority="122">
      <formula>B47&gt;$AG47</formula>
    </cfRule>
  </conditionalFormatting>
  <conditionalFormatting sqref="B97 B88:C88">
    <cfRule type="expression" dxfId="3211" priority="118">
      <formula>B$9&gt;=20/24</formula>
    </cfRule>
    <cfRule type="expression" dxfId="3210" priority="119">
      <formula>AND(B$9&gt;=14/24,B$9&lt;20/24)</formula>
    </cfRule>
    <cfRule type="expression" dxfId="3209" priority="120">
      <formula>AND(B$9&gt;=8/24,B$9&lt;14/24)</formula>
    </cfRule>
    <cfRule type="expression" dxfId="3208" priority="121">
      <formula>B$9&lt;8/24</formula>
    </cfRule>
  </conditionalFormatting>
  <conditionalFormatting sqref="B46:AF46">
    <cfRule type="expression" dxfId="3207" priority="114">
      <formula>B$9&gt;=20/24</formula>
    </cfRule>
    <cfRule type="expression" dxfId="3206" priority="115">
      <formula>AND(B$9&gt;=14/24,B$9&lt;20/24)</formula>
    </cfRule>
    <cfRule type="expression" dxfId="3205" priority="116">
      <formula>AND(B$9&gt;=8/24,B$9&lt;14/24)</formula>
    </cfRule>
    <cfRule type="expression" dxfId="3204" priority="117">
      <formula>B$9&lt;8/24</formula>
    </cfRule>
  </conditionalFormatting>
  <conditionalFormatting sqref="B46:AF46">
    <cfRule type="expression" dxfId="3203" priority="113">
      <formula>B46&gt;$AG46</formula>
    </cfRule>
  </conditionalFormatting>
  <conditionalFormatting sqref="B58:D58">
    <cfRule type="expression" dxfId="3202" priority="109">
      <formula>B$9&gt;=20/24</formula>
    </cfRule>
    <cfRule type="expression" dxfId="3201" priority="110">
      <formula>AND(B$9&gt;=14/24,B$9&lt;20/24)</formula>
    </cfRule>
    <cfRule type="expression" dxfId="3200" priority="111">
      <formula>AND(B$9&gt;=8/24,B$9&lt;14/24)</formula>
    </cfRule>
    <cfRule type="expression" dxfId="3199" priority="112">
      <formula>B$9&lt;8/24</formula>
    </cfRule>
  </conditionalFormatting>
  <conditionalFormatting sqref="B58:D58">
    <cfRule type="expression" dxfId="3198" priority="108">
      <formula>B58&gt;$AG58</formula>
    </cfRule>
  </conditionalFormatting>
  <conditionalFormatting sqref="B91:B95">
    <cfRule type="expression" dxfId="3197" priority="104">
      <formula>B$9&gt;=20/24</formula>
    </cfRule>
    <cfRule type="expression" dxfId="3196" priority="105">
      <formula>AND(B$9&gt;=14/24,B$9&lt;20/24)</formula>
    </cfRule>
    <cfRule type="expression" dxfId="3195" priority="106">
      <formula>AND(B$9&gt;=8/24,B$9&lt;14/24)</formula>
    </cfRule>
    <cfRule type="expression" dxfId="3194" priority="107">
      <formula>B$9&lt;8/24</formula>
    </cfRule>
  </conditionalFormatting>
  <conditionalFormatting sqref="B49:D51">
    <cfRule type="expression" dxfId="3193" priority="99">
      <formula>B49&gt;$AG49</formula>
    </cfRule>
  </conditionalFormatting>
  <conditionalFormatting sqref="B107">
    <cfRule type="expression" dxfId="3192" priority="95">
      <formula>B$9&gt;=20/24</formula>
    </cfRule>
    <cfRule type="expression" dxfId="3191" priority="96">
      <formula>AND(B$9&gt;=14/24,B$9&lt;20/24)</formula>
    </cfRule>
    <cfRule type="expression" dxfId="3190" priority="97">
      <formula>AND(B$9&gt;=8/24,B$9&lt;14/24)</formula>
    </cfRule>
    <cfRule type="expression" dxfId="3189" priority="98">
      <formula>B$9&lt;8/24</formula>
    </cfRule>
  </conditionalFormatting>
  <conditionalFormatting sqref="B110">
    <cfRule type="expression" dxfId="3188" priority="91">
      <formula>B$9&gt;=20/24</formula>
    </cfRule>
    <cfRule type="expression" dxfId="3187" priority="92">
      <formula>AND(B$9&gt;=14/24,B$9&lt;20/24)</formula>
    </cfRule>
    <cfRule type="expression" dxfId="3186" priority="93">
      <formula>AND(B$9&gt;=8/24,B$9&lt;14/24)</formula>
    </cfRule>
    <cfRule type="expression" dxfId="3185" priority="94">
      <formula>B$9&lt;8/24</formula>
    </cfRule>
  </conditionalFormatting>
  <conditionalFormatting sqref="B83:B85 B75:D76">
    <cfRule type="expression" dxfId="3184" priority="87">
      <formula>B$9&gt;=20/24</formula>
    </cfRule>
    <cfRule type="expression" dxfId="3183" priority="88">
      <formula>AND(B$9&gt;=14/24,B$9&lt;20/24)</formula>
    </cfRule>
    <cfRule type="expression" dxfId="3182" priority="89">
      <formula>AND(B$9&gt;=8/24,B$9&lt;14/24)</formula>
    </cfRule>
    <cfRule type="expression" dxfId="3181" priority="90">
      <formula>B$9&lt;8/24</formula>
    </cfRule>
  </conditionalFormatting>
  <conditionalFormatting sqref="B89 B98 B70 B87">
    <cfRule type="expression" dxfId="3180" priority="83">
      <formula>B$9&gt;=20/24</formula>
    </cfRule>
    <cfRule type="expression" dxfId="3179" priority="84">
      <formula>AND(B$9&gt;=14/24,B$9&lt;20/24)</formula>
    </cfRule>
    <cfRule type="expression" dxfId="3178" priority="85">
      <formula>AND(B$9&gt;=8/24,B$9&lt;14/24)</formula>
    </cfRule>
    <cfRule type="expression" dxfId="3177" priority="86">
      <formula>B$9&lt;8/24</formula>
    </cfRule>
  </conditionalFormatting>
  <conditionalFormatting sqref="B65:B66 B70 B48:AF48">
    <cfRule type="expression" dxfId="3176" priority="82">
      <formula>B48&gt;$AG48</formula>
    </cfRule>
  </conditionalFormatting>
  <conditionalFormatting sqref="B82">
    <cfRule type="expression" dxfId="3175" priority="78">
      <formula>B$9&gt;=20/24</formula>
    </cfRule>
    <cfRule type="expression" dxfId="3174" priority="79">
      <formula>AND(B$9&gt;=14/24,B$9&lt;20/24)</formula>
    </cfRule>
    <cfRule type="expression" dxfId="3173" priority="80">
      <formula>AND(B$9&gt;=8/24,B$9&lt;14/24)</formula>
    </cfRule>
    <cfRule type="expression" dxfId="3172" priority="81">
      <formula>B$9&lt;8/24</formula>
    </cfRule>
  </conditionalFormatting>
  <conditionalFormatting sqref="B52">
    <cfRule type="expression" dxfId="3171" priority="74">
      <formula>B$9&gt;=20/24</formula>
    </cfRule>
    <cfRule type="expression" dxfId="3170" priority="75">
      <formula>AND(B$9&gt;=14/24,B$9&lt;20/24)</formula>
    </cfRule>
    <cfRule type="expression" dxfId="3169" priority="76">
      <formula>AND(B$9&gt;=8/24,B$9&lt;14/24)</formula>
    </cfRule>
    <cfRule type="expression" dxfId="3168" priority="77">
      <formula>B$9&lt;8/24</formula>
    </cfRule>
  </conditionalFormatting>
  <conditionalFormatting sqref="B52">
    <cfRule type="expression" dxfId="3167" priority="73">
      <formula>B52&gt;$AG52</formula>
    </cfRule>
  </conditionalFormatting>
  <conditionalFormatting sqref="B59:N64">
    <cfRule type="expression" dxfId="3166" priority="65">
      <formula>B$9&gt;=20/24</formula>
    </cfRule>
    <cfRule type="expression" dxfId="3165" priority="66">
      <formula>AND(B$9&gt;=14/24,B$9&lt;20/24)</formula>
    </cfRule>
    <cfRule type="expression" dxfId="3164" priority="67">
      <formula>AND(B$9&gt;=8/24,B$9&lt;14/24)</formula>
    </cfRule>
    <cfRule type="expression" dxfId="3163" priority="68">
      <formula>B$9&lt;8/24</formula>
    </cfRule>
  </conditionalFormatting>
  <conditionalFormatting sqref="B59:N64">
    <cfRule type="expression" dxfId="3162" priority="64">
      <formula>B59&gt;$AG59</formula>
    </cfRule>
  </conditionalFormatting>
  <conditionalFormatting sqref="B77:D81">
    <cfRule type="expression" dxfId="3161" priority="60">
      <formula>B$9&gt;=20/24</formula>
    </cfRule>
    <cfRule type="expression" dxfId="3160" priority="61">
      <formula>AND(B$9&gt;=14/24,B$9&lt;20/24)</formula>
    </cfRule>
    <cfRule type="expression" dxfId="3159" priority="62">
      <formula>AND(B$9&gt;=8/24,B$9&lt;14/24)</formula>
    </cfRule>
    <cfRule type="expression" dxfId="3158" priority="63">
      <formula>B$9&lt;8/24</formula>
    </cfRule>
  </conditionalFormatting>
  <conditionalFormatting sqref="A11">
    <cfRule type="expression" dxfId="3157" priority="59">
      <formula>$AH11=0</formula>
    </cfRule>
  </conditionalFormatting>
  <conditionalFormatting sqref="AA11:AF11">
    <cfRule type="expression" dxfId="3156" priority="55">
      <formula>AA$9&gt;=20/24</formula>
    </cfRule>
    <cfRule type="expression" dxfId="3155" priority="56">
      <formula>AND(AA$9&gt;=14/24,AA$9&lt;20/24)</formula>
    </cfRule>
    <cfRule type="expression" dxfId="3154" priority="57">
      <formula>AND(AA$9&gt;=8/24,AA$9&lt;14/24)</formula>
    </cfRule>
    <cfRule type="expression" dxfId="3153" priority="58">
      <formula>AA$9&lt;8/24</formula>
    </cfRule>
  </conditionalFormatting>
  <conditionalFormatting sqref="AA11:AF11">
    <cfRule type="expression" dxfId="3152" priority="54">
      <formula>AA11&gt;$AG11</formula>
    </cfRule>
  </conditionalFormatting>
  <conditionalFormatting sqref="B11:Z11">
    <cfRule type="expression" dxfId="3151" priority="50">
      <formula>B$9&gt;=20/24</formula>
    </cfRule>
    <cfRule type="expression" dxfId="3150" priority="51">
      <formula>AND(B$9&gt;=14/24,B$9&lt;20/24)</formula>
    </cfRule>
    <cfRule type="expression" dxfId="3149" priority="52">
      <formula>AND(B$9&gt;=8/24,B$9&lt;14/24)</formula>
    </cfRule>
    <cfRule type="expression" dxfId="3148" priority="53">
      <formula>B$9&lt;8/24</formula>
    </cfRule>
  </conditionalFormatting>
  <conditionalFormatting sqref="B11:Z11">
    <cfRule type="expression" dxfId="3147" priority="49">
      <formula>B11&gt;$AG11</formula>
    </cfRule>
  </conditionalFormatting>
  <conditionalFormatting sqref="A16">
    <cfRule type="expression" dxfId="3146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A16:AF16">
    <cfRule type="expression" dxfId="3145" priority="43">
      <formula>AA$9&gt;=20/24</formula>
    </cfRule>
    <cfRule type="expression" dxfId="3144" priority="44">
      <formula>AND(AA$9&gt;=14/24,AA$9&lt;20/24)</formula>
    </cfRule>
    <cfRule type="expression" dxfId="3143" priority="45">
      <formula>AND(AA$9&gt;=8/24,AA$9&lt;14/24)</formula>
    </cfRule>
    <cfRule type="expression" dxfId="3142" priority="46">
      <formula>AA$9&lt;8/24</formula>
    </cfRule>
  </conditionalFormatting>
  <conditionalFormatting sqref="AA16:AF16">
    <cfRule type="expression" dxfId="3141" priority="42">
      <formula>AA16&gt;$AG16</formula>
    </cfRule>
  </conditionalFormatting>
  <conditionalFormatting sqref="B16:Z16">
    <cfRule type="expression" dxfId="3140" priority="38">
      <formula>B$9&gt;=20/24</formula>
    </cfRule>
    <cfRule type="expression" dxfId="3139" priority="39">
      <formula>AND(B$9&gt;=14/24,B$9&lt;20/24)</formula>
    </cfRule>
    <cfRule type="expression" dxfId="3138" priority="40">
      <formula>AND(B$9&gt;=8/24,B$9&lt;14/24)</formula>
    </cfRule>
    <cfRule type="expression" dxfId="3137" priority="41">
      <formula>B$9&lt;8/24</formula>
    </cfRule>
  </conditionalFormatting>
  <conditionalFormatting sqref="B16:Z16">
    <cfRule type="expression" dxfId="3136" priority="37">
      <formula>B16&gt;$AG16</formula>
    </cfRule>
  </conditionalFormatting>
  <conditionalFormatting sqref="A33">
    <cfRule type="expression" dxfId="3135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AA33:AF33">
    <cfRule type="expression" dxfId="3134" priority="31">
      <formula>AA$9&gt;=20/24</formula>
    </cfRule>
    <cfRule type="expression" dxfId="3133" priority="32">
      <formula>AND(AA$9&gt;=14/24,AA$9&lt;20/24)</formula>
    </cfRule>
    <cfRule type="expression" dxfId="3132" priority="33">
      <formula>AND(AA$9&gt;=8/24,AA$9&lt;14/24)</formula>
    </cfRule>
    <cfRule type="expression" dxfId="3131" priority="34">
      <formula>AA$9&lt;8/24</formula>
    </cfRule>
  </conditionalFormatting>
  <conditionalFormatting sqref="AA33:AF33">
    <cfRule type="expression" dxfId="3130" priority="30">
      <formula>AA33&gt;$AG33</formula>
    </cfRule>
  </conditionalFormatting>
  <conditionalFormatting sqref="B33:Z33">
    <cfRule type="expression" dxfId="3129" priority="26">
      <formula>B$9&gt;=20/24</formula>
    </cfRule>
    <cfRule type="expression" dxfId="3128" priority="27">
      <formula>AND(B$9&gt;=14/24,B$9&lt;20/24)</formula>
    </cfRule>
    <cfRule type="expression" dxfId="3127" priority="28">
      <formula>AND(B$9&gt;=8/24,B$9&lt;14/24)</formula>
    </cfRule>
    <cfRule type="expression" dxfId="3126" priority="29">
      <formula>B$9&lt;8/24</formula>
    </cfRule>
  </conditionalFormatting>
  <conditionalFormatting sqref="B33:Z33">
    <cfRule type="expression" dxfId="3125" priority="25">
      <formula>B33&gt;$AG33</formula>
    </cfRule>
  </conditionalFormatting>
  <conditionalFormatting sqref="A44">
    <cfRule type="expression" dxfId="3124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AA44:AF44">
    <cfRule type="expression" dxfId="3123" priority="22">
      <formula>AA44&gt;$AG44</formula>
    </cfRule>
  </conditionalFormatting>
  <conditionalFormatting sqref="AA44:AF44">
    <cfRule type="expression" dxfId="3122" priority="18">
      <formula>AA$9&gt;=20/24</formula>
    </cfRule>
    <cfRule type="expression" dxfId="3121" priority="19">
      <formula>AND(AA$9&gt;=14/24,AA$9&lt;20/24)</formula>
    </cfRule>
    <cfRule type="expression" dxfId="3120" priority="20">
      <formula>AND(AA$9&gt;=8/24,AA$9&lt;14/24)</formula>
    </cfRule>
    <cfRule type="expression" dxfId="3119" priority="21">
      <formula>AA$9&lt;8/24</formula>
    </cfRule>
  </conditionalFormatting>
  <conditionalFormatting sqref="B44:Z44">
    <cfRule type="expression" dxfId="3118" priority="14">
      <formula>B$9&gt;=20/24</formula>
    </cfRule>
    <cfRule type="expression" dxfId="3117" priority="15">
      <formula>AND(B$9&gt;=14/24,B$9&lt;20/24)</formula>
    </cfRule>
    <cfRule type="expression" dxfId="3116" priority="16">
      <formula>AND(B$9&gt;=8/24,B$9&lt;14/24)</formula>
    </cfRule>
    <cfRule type="expression" dxfId="3115" priority="17">
      <formula>B$9&lt;8/24</formula>
    </cfRule>
  </conditionalFormatting>
  <conditionalFormatting sqref="B44:Z44">
    <cfRule type="expression" dxfId="3114" priority="13">
      <formula>B44&gt;$AG44</formula>
    </cfRule>
  </conditionalFormatting>
  <conditionalFormatting sqref="B117">
    <cfRule type="expression" dxfId="3113" priority="1">
      <formula>B$9&gt;=20/24</formula>
    </cfRule>
    <cfRule type="expression" dxfId="3112" priority="2">
      <formula>AND(B$9&gt;=14/24,B$9&lt;20/24)</formula>
    </cfRule>
    <cfRule type="expression" dxfId="3111" priority="3">
      <formula>AND(B$9&gt;=8/24,B$9&lt;14/24)</formula>
    </cfRule>
    <cfRule type="expression" dxfId="3110" priority="4">
      <formula>B$9&lt;8/24</formula>
    </cfRule>
  </conditionalFormatting>
  <conditionalFormatting sqref="D117:AF117">
    <cfRule type="expression" dxfId="3109" priority="9">
      <formula>D$9&gt;=20/24</formula>
    </cfRule>
    <cfRule type="expression" dxfId="3108" priority="10">
      <formula>AND(D$9&gt;=14/24,D$9&lt;20/24)</formula>
    </cfRule>
    <cfRule type="expression" dxfId="3107" priority="11">
      <formula>AND(D$9&gt;=8/24,D$9&lt;14/24)</formula>
    </cfRule>
    <cfRule type="expression" dxfId="3106" priority="12">
      <formula>D$9&lt;8/24</formula>
    </cfRule>
  </conditionalFormatting>
  <conditionalFormatting sqref="C117">
    <cfRule type="expression" dxfId="3105" priority="5">
      <formula>C$9&gt;=20/24</formula>
    </cfRule>
    <cfRule type="expression" dxfId="3104" priority="6">
      <formula>AND(C$9&gt;=14/24,C$9&lt;20/24)</formula>
    </cfRule>
    <cfRule type="expression" dxfId="3103" priority="7">
      <formula>AND(C$9&gt;=8/24,C$9&lt;14/24)</formula>
    </cfRule>
    <cfRule type="expression" dxfId="3102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64ECBFF4-8A75-4060-824D-2A1A92FBFDF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0FE703EA-2CFA-4E8F-84A1-BF394D94637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7206169A-AECF-46DD-B312-0011CDCAB43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494103FA-6319-479B-8EFD-A2D883F6328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CCB54940-BFF7-417D-91F2-DE2A7794F4E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E6DCB177-315D-485E-BCD3-2C533BDD597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43565039-EEBF-4A55-9BD1-E3DE7919971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A63EB875-2493-42BD-A90F-323BA8EB7BB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Normal="100" workbookViewId="0">
      <pane ySplit="10" topLeftCell="A29" activePane="bottomLeft" state="frozen"/>
      <selection activeCell="Z85" sqref="Z85"/>
      <selection pane="bottomLeft" activeCell="AC79" sqref="AC79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2079/12/20</v>
      </c>
      <c r="C4" s="236"/>
      <c r="D4" s="236"/>
      <c r="E4" s="237" t="str">
        <f ca="1">"2079/"&amp;"12/"&amp;INT(MID(CELL("filename",G6),FIND("]",CELL("filename",G6))+1,200))</f>
        <v>2079/12/20</v>
      </c>
      <c r="F4" s="237"/>
      <c r="G4" s="237"/>
      <c r="H4" s="237" t="str">
        <f ca="1">TEXT(E4,"dddd")</f>
        <v>Wednesday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387</v>
      </c>
      <c r="C5" s="33">
        <f t="shared" si="0"/>
        <v>389.7</v>
      </c>
      <c r="D5" s="33">
        <f t="shared" si="0"/>
        <v>440.5</v>
      </c>
      <c r="E5" s="33">
        <f t="shared" si="0"/>
        <v>424</v>
      </c>
      <c r="F5" s="33">
        <f t="shared" si="0"/>
        <v>478.4</v>
      </c>
      <c r="G5" s="33">
        <f t="shared" si="0"/>
        <v>477.7</v>
      </c>
      <c r="H5" s="33">
        <f t="shared" si="0"/>
        <v>469.8</v>
      </c>
      <c r="I5" s="33">
        <f t="shared" si="0"/>
        <v>526.29999999999995</v>
      </c>
      <c r="J5" s="33">
        <f t="shared" si="0"/>
        <v>500.90000000000003</v>
      </c>
      <c r="K5" s="33">
        <f t="shared" si="0"/>
        <v>531.70000000000005</v>
      </c>
      <c r="L5" s="33">
        <f t="shared" si="0"/>
        <v>523</v>
      </c>
      <c r="M5" s="33">
        <f t="shared" si="0"/>
        <v>524.9</v>
      </c>
      <c r="N5" s="33">
        <f t="shared" si="0"/>
        <v>562.70000000000005</v>
      </c>
      <c r="O5" s="33">
        <f t="shared" si="0"/>
        <v>581.49999999999989</v>
      </c>
      <c r="P5" s="33">
        <f t="shared" si="0"/>
        <v>577.9</v>
      </c>
      <c r="Q5" s="33">
        <f t="shared" si="0"/>
        <v>585.4</v>
      </c>
      <c r="R5" s="33">
        <f t="shared" si="0"/>
        <v>580.70000000000005</v>
      </c>
      <c r="S5" s="33">
        <f t="shared" si="0"/>
        <v>595.20000000000005</v>
      </c>
      <c r="T5" s="33">
        <f t="shared" si="0"/>
        <v>566.70000000000005</v>
      </c>
      <c r="U5" s="33">
        <f t="shared" si="0"/>
        <v>568</v>
      </c>
      <c r="V5" s="33">
        <f t="shared" si="0"/>
        <v>569.20000000000005</v>
      </c>
      <c r="W5" s="33">
        <f t="shared" si="0"/>
        <v>563.69999999999993</v>
      </c>
      <c r="X5" s="33">
        <f t="shared" si="0"/>
        <v>505.29999999999995</v>
      </c>
      <c r="Y5" s="33">
        <f t="shared" si="0"/>
        <v>515.79999999999995</v>
      </c>
      <c r="Z5" s="33">
        <f t="shared" si="0"/>
        <v>475</v>
      </c>
      <c r="AA5" s="33">
        <f t="shared" si="0"/>
        <v>444.2</v>
      </c>
      <c r="AB5" s="33">
        <f t="shared" si="0"/>
        <v>476</v>
      </c>
      <c r="AC5" s="33">
        <f t="shared" si="0"/>
        <v>473.3</v>
      </c>
      <c r="AD5" s="33">
        <f t="shared" si="0"/>
        <v>496.4</v>
      </c>
      <c r="AE5" s="33">
        <f t="shared" si="0"/>
        <v>535.1</v>
      </c>
      <c r="AF5" s="33">
        <f>B82</f>
        <v>405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1485MW at 7:30hr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Load=1124</v>
      </c>
      <c r="B7" s="38">
        <f t="shared" ref="B7:AF7" si="1">B89</f>
        <v>1177.1399999999999</v>
      </c>
      <c r="C7" s="38">
        <f t="shared" si="1"/>
        <v>1193.44</v>
      </c>
      <c r="D7" s="38">
        <f t="shared" si="1"/>
        <v>1181.1400000000001</v>
      </c>
      <c r="E7" s="38">
        <f t="shared" si="1"/>
        <v>1201.239</v>
      </c>
      <c r="F7" s="38">
        <f t="shared" si="1"/>
        <v>1136.24</v>
      </c>
      <c r="G7" s="38">
        <f t="shared" si="1"/>
        <v>1193.8400000000001</v>
      </c>
      <c r="H7" s="38">
        <f t="shared" si="1"/>
        <v>1193.1400000000001</v>
      </c>
      <c r="I7" s="38">
        <f t="shared" si="1"/>
        <v>1277.74</v>
      </c>
      <c r="J7" s="38">
        <f t="shared" si="1"/>
        <v>1400.94</v>
      </c>
      <c r="K7" s="38">
        <f t="shared" si="1"/>
        <v>1422.54</v>
      </c>
      <c r="L7" s="38">
        <f t="shared" si="1"/>
        <v>1484.84</v>
      </c>
      <c r="M7" s="38">
        <f t="shared" si="1"/>
        <v>1467.6399999999999</v>
      </c>
      <c r="N7" s="38">
        <f>N89</f>
        <v>1447.6399999999999</v>
      </c>
      <c r="O7" s="38">
        <f t="shared" si="1"/>
        <v>1431.1399999999999</v>
      </c>
      <c r="P7" s="38">
        <f t="shared" si="1"/>
        <v>1423.3399999999997</v>
      </c>
      <c r="Q7" s="38">
        <f t="shared" si="1"/>
        <v>1404.24</v>
      </c>
      <c r="R7" s="38">
        <f t="shared" si="1"/>
        <v>1391.44</v>
      </c>
      <c r="S7" s="38">
        <f t="shared" si="1"/>
        <v>1466.54</v>
      </c>
      <c r="T7" s="38">
        <f t="shared" si="1"/>
        <v>1453.14</v>
      </c>
      <c r="U7" s="38">
        <f t="shared" si="1"/>
        <v>1373.3400000000001</v>
      </c>
      <c r="V7" s="38">
        <f t="shared" si="1"/>
        <v>1335.74</v>
      </c>
      <c r="W7" s="38">
        <f t="shared" si="1"/>
        <v>1337.44</v>
      </c>
      <c r="X7" s="38">
        <f t="shared" si="1"/>
        <v>1268.7399999999998</v>
      </c>
      <c r="Y7" s="38">
        <f t="shared" si="1"/>
        <v>1359.1399999999999</v>
      </c>
      <c r="Z7" s="38">
        <f t="shared" si="1"/>
        <v>1486.74</v>
      </c>
      <c r="AA7" s="38">
        <f t="shared" si="1"/>
        <v>1443.7399999999998</v>
      </c>
      <c r="AB7" s="38">
        <f t="shared" si="1"/>
        <v>1346.94</v>
      </c>
      <c r="AC7" s="38">
        <f t="shared" si="1"/>
        <v>1378.74</v>
      </c>
      <c r="AD7" s="38">
        <f t="shared" si="1"/>
        <v>1247.3399999999999</v>
      </c>
      <c r="AE7" s="38">
        <f t="shared" si="1"/>
        <v>1124.04</v>
      </c>
      <c r="AF7" s="38">
        <f t="shared" si="1"/>
        <v>1132.1400000000001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27</v>
      </c>
      <c r="C11" s="50">
        <v>27</v>
      </c>
      <c r="D11" s="50">
        <v>27</v>
      </c>
      <c r="E11" s="50">
        <v>27</v>
      </c>
      <c r="F11" s="50">
        <v>27</v>
      </c>
      <c r="G11" s="50">
        <v>27</v>
      </c>
      <c r="H11" s="50">
        <v>27</v>
      </c>
      <c r="I11" s="50">
        <v>27</v>
      </c>
      <c r="J11" s="50">
        <v>27</v>
      </c>
      <c r="K11" s="50">
        <v>27</v>
      </c>
      <c r="L11" s="50">
        <v>27</v>
      </c>
      <c r="M11" s="50">
        <v>27</v>
      </c>
      <c r="N11" s="50">
        <v>27</v>
      </c>
      <c r="O11" s="50">
        <v>27</v>
      </c>
      <c r="P11" s="50">
        <v>27</v>
      </c>
      <c r="Q11" s="50">
        <v>27</v>
      </c>
      <c r="R11" s="50">
        <v>27</v>
      </c>
      <c r="S11" s="50">
        <v>27</v>
      </c>
      <c r="T11" s="50">
        <v>27</v>
      </c>
      <c r="U11" s="50">
        <v>27</v>
      </c>
      <c r="V11" s="50">
        <v>27</v>
      </c>
      <c r="W11" s="50">
        <v>27</v>
      </c>
      <c r="X11" s="50">
        <v>27</v>
      </c>
      <c r="Y11" s="50">
        <v>27</v>
      </c>
      <c r="Z11" s="50">
        <v>27</v>
      </c>
      <c r="AA11" s="50">
        <v>27</v>
      </c>
      <c r="AB11" s="50">
        <v>27</v>
      </c>
      <c r="AC11" s="50">
        <v>27</v>
      </c>
      <c r="AD11" s="50">
        <v>27</v>
      </c>
      <c r="AE11" s="50">
        <v>27</v>
      </c>
      <c r="AF11" s="50">
        <v>27</v>
      </c>
      <c r="AG11" s="51">
        <v>86</v>
      </c>
      <c r="AH11" s="52">
        <f t="shared" ref="AH11:AH74" si="2">MAX(B11:AF11)</f>
        <v>27</v>
      </c>
      <c r="AI11" s="53">
        <f t="shared" ref="AI11:AI74" si="3">MIN(B11:AF11)</f>
        <v>27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13.6</v>
      </c>
      <c r="C12" s="50">
        <v>13.6</v>
      </c>
      <c r="D12" s="50">
        <v>13.6</v>
      </c>
      <c r="E12" s="50">
        <v>16.600000000000001</v>
      </c>
      <c r="F12" s="50">
        <v>16.600000000000001</v>
      </c>
      <c r="G12" s="50">
        <v>16.600000000000001</v>
      </c>
      <c r="H12" s="50">
        <v>16.600000000000001</v>
      </c>
      <c r="I12" s="50">
        <v>16.600000000000001</v>
      </c>
      <c r="J12" s="50">
        <v>16.600000000000001</v>
      </c>
      <c r="K12" s="50">
        <v>13.6</v>
      </c>
      <c r="L12" s="50">
        <v>13.6</v>
      </c>
      <c r="M12" s="50">
        <v>13.6</v>
      </c>
      <c r="N12" s="50">
        <v>13.6</v>
      </c>
      <c r="O12" s="50">
        <v>13.6</v>
      </c>
      <c r="P12" s="50">
        <v>13.6</v>
      </c>
      <c r="Q12" s="50">
        <v>16</v>
      </c>
      <c r="R12" s="50">
        <v>16</v>
      </c>
      <c r="S12" s="50">
        <v>16</v>
      </c>
      <c r="T12" s="50">
        <v>16</v>
      </c>
      <c r="U12" s="50">
        <v>16</v>
      </c>
      <c r="V12" s="50">
        <v>16</v>
      </c>
      <c r="W12" s="50">
        <v>16</v>
      </c>
      <c r="X12" s="50">
        <v>16</v>
      </c>
      <c r="Y12" s="50">
        <v>16</v>
      </c>
      <c r="Z12" s="50">
        <v>16</v>
      </c>
      <c r="AA12" s="50">
        <v>16</v>
      </c>
      <c r="AB12" s="50">
        <v>16</v>
      </c>
      <c r="AC12" s="50">
        <v>16</v>
      </c>
      <c r="AD12" s="50">
        <v>16</v>
      </c>
      <c r="AE12" s="50">
        <v>16</v>
      </c>
      <c r="AF12" s="50">
        <v>16</v>
      </c>
      <c r="AG12" s="51">
        <v>52.4</v>
      </c>
      <c r="AH12" s="52">
        <f t="shared" si="2"/>
        <v>16.600000000000001</v>
      </c>
      <c r="AI12" s="53">
        <f t="shared" si="3"/>
        <v>13.6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37.6</v>
      </c>
      <c r="C13" s="50">
        <v>37.6</v>
      </c>
      <c r="D13" s="50">
        <v>37.6</v>
      </c>
      <c r="E13" s="50">
        <v>37.9</v>
      </c>
      <c r="F13" s="50">
        <v>37.9</v>
      </c>
      <c r="G13" s="50">
        <v>37.9</v>
      </c>
      <c r="H13" s="50">
        <v>37.9</v>
      </c>
      <c r="I13" s="50">
        <v>37.9</v>
      </c>
      <c r="J13" s="50">
        <v>37.9</v>
      </c>
      <c r="K13" s="50">
        <v>37.9</v>
      </c>
      <c r="L13" s="50">
        <v>37.9</v>
      </c>
      <c r="M13" s="50">
        <v>37.9</v>
      </c>
      <c r="N13" s="50">
        <v>37.9</v>
      </c>
      <c r="O13" s="50">
        <v>37.9</v>
      </c>
      <c r="P13" s="50">
        <v>37.9</v>
      </c>
      <c r="Q13" s="50">
        <v>34.700000000000003</v>
      </c>
      <c r="R13" s="50">
        <v>34.700000000000003</v>
      </c>
      <c r="S13" s="50">
        <v>34.700000000000003</v>
      </c>
      <c r="T13" s="50">
        <v>34.700000000000003</v>
      </c>
      <c r="U13" s="50">
        <v>34.700000000000003</v>
      </c>
      <c r="V13" s="50">
        <v>34.700000000000003</v>
      </c>
      <c r="W13" s="50">
        <v>34.700000000000003</v>
      </c>
      <c r="X13" s="50">
        <v>34.700000000000003</v>
      </c>
      <c r="Y13" s="50">
        <v>34.700000000000003</v>
      </c>
      <c r="Z13" s="50">
        <v>34.700000000000003</v>
      </c>
      <c r="AA13" s="50">
        <v>34.700000000000003</v>
      </c>
      <c r="AB13" s="50">
        <v>34.700000000000003</v>
      </c>
      <c r="AC13" s="50">
        <v>34.700000000000003</v>
      </c>
      <c r="AD13" s="50">
        <v>34.700000000000003</v>
      </c>
      <c r="AE13" s="50">
        <v>34.700000000000003</v>
      </c>
      <c r="AF13" s="50">
        <v>34.700000000000003</v>
      </c>
      <c r="AG13" s="55">
        <v>50</v>
      </c>
      <c r="AH13" s="52">
        <f t="shared" si="2"/>
        <v>37.9</v>
      </c>
      <c r="AI13" s="53">
        <f t="shared" si="3"/>
        <v>34.700000000000003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17.3</v>
      </c>
      <c r="C14" s="50">
        <v>17.3</v>
      </c>
      <c r="D14" s="50">
        <v>17.3</v>
      </c>
      <c r="E14" s="50">
        <v>17.600000000000001</v>
      </c>
      <c r="F14" s="50">
        <v>17.600000000000001</v>
      </c>
      <c r="G14" s="50">
        <v>17.600000000000001</v>
      </c>
      <c r="H14" s="50">
        <v>17.600000000000001</v>
      </c>
      <c r="I14" s="50">
        <v>17.600000000000001</v>
      </c>
      <c r="J14" s="50">
        <v>17.600000000000001</v>
      </c>
      <c r="K14" s="50">
        <v>17.600000000000001</v>
      </c>
      <c r="L14" s="50">
        <v>17.600000000000001</v>
      </c>
      <c r="M14" s="50">
        <v>17.600000000000001</v>
      </c>
      <c r="N14" s="50">
        <v>17.600000000000001</v>
      </c>
      <c r="O14" s="50">
        <v>17.600000000000001</v>
      </c>
      <c r="P14" s="50">
        <v>17.600000000000001</v>
      </c>
      <c r="Q14" s="50">
        <v>16.600000000000001</v>
      </c>
      <c r="R14" s="50">
        <v>16.600000000000001</v>
      </c>
      <c r="S14" s="50">
        <v>16.600000000000001</v>
      </c>
      <c r="T14" s="50">
        <v>16.600000000000001</v>
      </c>
      <c r="U14" s="50">
        <v>16.600000000000001</v>
      </c>
      <c r="V14" s="50">
        <v>16.600000000000001</v>
      </c>
      <c r="W14" s="50">
        <v>16.600000000000001</v>
      </c>
      <c r="X14" s="50">
        <v>16.600000000000001</v>
      </c>
      <c r="Y14" s="50">
        <v>16.600000000000001</v>
      </c>
      <c r="Z14" s="50">
        <v>16.600000000000001</v>
      </c>
      <c r="AA14" s="50">
        <v>16.600000000000001</v>
      </c>
      <c r="AB14" s="50">
        <v>16.600000000000001</v>
      </c>
      <c r="AC14" s="50">
        <v>16.600000000000001</v>
      </c>
      <c r="AD14" s="50">
        <v>16.600000000000001</v>
      </c>
      <c r="AE14" s="50">
        <v>16.600000000000001</v>
      </c>
      <c r="AF14" s="50">
        <v>16.600000000000001</v>
      </c>
      <c r="AG14" s="55">
        <v>45</v>
      </c>
      <c r="AH14" s="52">
        <f t="shared" si="2"/>
        <v>17.600000000000001</v>
      </c>
      <c r="AI14" s="53">
        <f t="shared" si="3"/>
        <v>16.600000000000001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14</v>
      </c>
      <c r="C15" s="50">
        <v>14</v>
      </c>
      <c r="D15" s="50">
        <v>14</v>
      </c>
      <c r="E15" s="50">
        <v>14</v>
      </c>
      <c r="F15" s="50">
        <v>14</v>
      </c>
      <c r="G15" s="50">
        <v>14</v>
      </c>
      <c r="H15" s="50">
        <v>14</v>
      </c>
      <c r="I15" s="50">
        <v>14</v>
      </c>
      <c r="J15" s="50">
        <v>14</v>
      </c>
      <c r="K15" s="50">
        <v>14</v>
      </c>
      <c r="L15" s="50">
        <v>14</v>
      </c>
      <c r="M15" s="50">
        <v>14</v>
      </c>
      <c r="N15" s="50">
        <v>14</v>
      </c>
      <c r="O15" s="50">
        <v>14</v>
      </c>
      <c r="P15" s="50">
        <v>14</v>
      </c>
      <c r="Q15" s="50">
        <v>14</v>
      </c>
      <c r="R15" s="50">
        <v>14</v>
      </c>
      <c r="S15" s="50">
        <v>14</v>
      </c>
      <c r="T15" s="50">
        <v>14</v>
      </c>
      <c r="U15" s="50">
        <v>14</v>
      </c>
      <c r="V15" s="50">
        <v>14</v>
      </c>
      <c r="W15" s="50">
        <v>14</v>
      </c>
      <c r="X15" s="50">
        <v>14</v>
      </c>
      <c r="Y15" s="50">
        <v>14</v>
      </c>
      <c r="Z15" s="50">
        <v>14</v>
      </c>
      <c r="AA15" s="50">
        <v>14</v>
      </c>
      <c r="AB15" s="50">
        <v>14</v>
      </c>
      <c r="AC15" s="50">
        <v>14</v>
      </c>
      <c r="AD15" s="50">
        <v>14</v>
      </c>
      <c r="AE15" s="50">
        <v>14</v>
      </c>
      <c r="AF15" s="50">
        <v>14</v>
      </c>
      <c r="AG15" s="55">
        <v>42</v>
      </c>
      <c r="AH15" s="52">
        <f t="shared" si="2"/>
        <v>14</v>
      </c>
      <c r="AI15" s="53">
        <f t="shared" si="3"/>
        <v>14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21</v>
      </c>
      <c r="C16" s="50">
        <v>21</v>
      </c>
      <c r="D16" s="50">
        <v>21</v>
      </c>
      <c r="E16" s="50">
        <v>21</v>
      </c>
      <c r="F16" s="50">
        <v>21</v>
      </c>
      <c r="G16" s="50">
        <v>21</v>
      </c>
      <c r="H16" s="50">
        <v>21</v>
      </c>
      <c r="I16" s="50">
        <v>21</v>
      </c>
      <c r="J16" s="50">
        <v>21</v>
      </c>
      <c r="K16" s="50">
        <v>21</v>
      </c>
      <c r="L16" s="50">
        <v>21</v>
      </c>
      <c r="M16" s="50">
        <v>21</v>
      </c>
      <c r="N16" s="50">
        <v>21</v>
      </c>
      <c r="O16" s="50">
        <v>21</v>
      </c>
      <c r="P16" s="50">
        <v>21</v>
      </c>
      <c r="Q16" s="50">
        <v>21</v>
      </c>
      <c r="R16" s="50">
        <v>21</v>
      </c>
      <c r="S16" s="50">
        <v>21</v>
      </c>
      <c r="T16" s="50">
        <v>21</v>
      </c>
      <c r="U16" s="50">
        <v>21</v>
      </c>
      <c r="V16" s="50">
        <v>21</v>
      </c>
      <c r="W16" s="50">
        <v>21</v>
      </c>
      <c r="X16" s="50">
        <v>21</v>
      </c>
      <c r="Y16" s="50">
        <v>21</v>
      </c>
      <c r="Z16" s="50">
        <v>21</v>
      </c>
      <c r="AA16" s="50">
        <v>21</v>
      </c>
      <c r="AB16" s="50">
        <v>21</v>
      </c>
      <c r="AC16" s="50">
        <v>21</v>
      </c>
      <c r="AD16" s="50">
        <v>21</v>
      </c>
      <c r="AE16" s="50">
        <v>21</v>
      </c>
      <c r="AF16" s="50">
        <v>21</v>
      </c>
      <c r="AG16" s="55">
        <v>36</v>
      </c>
      <c r="AH16" s="52">
        <f t="shared" si="2"/>
        <v>21</v>
      </c>
      <c r="AI16" s="53">
        <f t="shared" si="3"/>
        <v>21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11.5</v>
      </c>
      <c r="C18" s="50">
        <v>11.5</v>
      </c>
      <c r="D18" s="50">
        <v>11.5</v>
      </c>
      <c r="E18" s="50">
        <v>11.5</v>
      </c>
      <c r="F18" s="50">
        <v>11.5</v>
      </c>
      <c r="G18" s="50">
        <v>11.5</v>
      </c>
      <c r="H18" s="50">
        <v>11.5</v>
      </c>
      <c r="I18" s="50">
        <v>11.5</v>
      </c>
      <c r="J18" s="50">
        <v>11.5</v>
      </c>
      <c r="K18" s="50">
        <v>11.5</v>
      </c>
      <c r="L18" s="50">
        <v>11.5</v>
      </c>
      <c r="M18" s="50">
        <v>11.5</v>
      </c>
      <c r="N18" s="50">
        <v>11.5</v>
      </c>
      <c r="O18" s="50">
        <v>11.5</v>
      </c>
      <c r="P18" s="50">
        <v>11.5</v>
      </c>
      <c r="Q18" s="50">
        <v>11.5</v>
      </c>
      <c r="R18" s="50">
        <v>11.5</v>
      </c>
      <c r="S18" s="50">
        <v>11.5</v>
      </c>
      <c r="T18" s="50">
        <v>11.5</v>
      </c>
      <c r="U18" s="50">
        <v>11.5</v>
      </c>
      <c r="V18" s="50">
        <v>11.5</v>
      </c>
      <c r="W18" s="50">
        <v>11.5</v>
      </c>
      <c r="X18" s="50">
        <v>11.5</v>
      </c>
      <c r="Y18" s="50">
        <v>11.5</v>
      </c>
      <c r="Z18" s="50">
        <v>11.5</v>
      </c>
      <c r="AA18" s="50">
        <v>11.5</v>
      </c>
      <c r="AB18" s="50">
        <v>11.5</v>
      </c>
      <c r="AC18" s="50">
        <v>11.5</v>
      </c>
      <c r="AD18" s="50">
        <v>11.5</v>
      </c>
      <c r="AE18" s="50">
        <v>11.5</v>
      </c>
      <c r="AF18" s="50">
        <v>11.5</v>
      </c>
      <c r="AG18" s="56">
        <v>30</v>
      </c>
      <c r="AH18" s="52">
        <f t="shared" si="2"/>
        <v>11.5</v>
      </c>
      <c r="AI18" s="53">
        <f t="shared" si="3"/>
        <v>11.5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7.6</v>
      </c>
      <c r="C19" s="50">
        <v>7.6</v>
      </c>
      <c r="D19" s="50">
        <v>7.6</v>
      </c>
      <c r="E19" s="50">
        <v>7.6</v>
      </c>
      <c r="F19" s="50">
        <v>7.6</v>
      </c>
      <c r="G19" s="50">
        <v>7.6</v>
      </c>
      <c r="H19" s="50">
        <v>7.6</v>
      </c>
      <c r="I19" s="50">
        <v>7.6</v>
      </c>
      <c r="J19" s="50">
        <v>7.6</v>
      </c>
      <c r="K19" s="50">
        <v>7.6</v>
      </c>
      <c r="L19" s="50">
        <v>7.6</v>
      </c>
      <c r="M19" s="50">
        <v>7.6</v>
      </c>
      <c r="N19" s="50">
        <v>7.6</v>
      </c>
      <c r="O19" s="50">
        <v>7.6</v>
      </c>
      <c r="P19" s="50">
        <v>7.6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6.6</v>
      </c>
      <c r="AA19" s="50">
        <v>6.6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7.6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8</v>
      </c>
      <c r="C20" s="50">
        <v>8</v>
      </c>
      <c r="D20" s="50">
        <v>8</v>
      </c>
      <c r="E20" s="50">
        <v>8</v>
      </c>
      <c r="F20" s="50">
        <v>8</v>
      </c>
      <c r="G20" s="50">
        <v>8</v>
      </c>
      <c r="H20" s="50">
        <v>8</v>
      </c>
      <c r="I20" s="50">
        <v>8</v>
      </c>
      <c r="J20" s="50">
        <v>8</v>
      </c>
      <c r="K20" s="50">
        <v>8</v>
      </c>
      <c r="L20" s="50">
        <v>8</v>
      </c>
      <c r="M20" s="50">
        <v>8</v>
      </c>
      <c r="N20" s="50">
        <v>8</v>
      </c>
      <c r="O20" s="50">
        <v>8</v>
      </c>
      <c r="P20" s="50">
        <v>8</v>
      </c>
      <c r="Q20" s="50">
        <v>8</v>
      </c>
      <c r="R20" s="50">
        <v>8</v>
      </c>
      <c r="S20" s="50">
        <v>8</v>
      </c>
      <c r="T20" s="50">
        <v>8</v>
      </c>
      <c r="U20" s="50">
        <v>8</v>
      </c>
      <c r="V20" s="50">
        <v>8</v>
      </c>
      <c r="W20" s="50">
        <v>8</v>
      </c>
      <c r="X20" s="50">
        <v>8</v>
      </c>
      <c r="Y20" s="50">
        <v>8</v>
      </c>
      <c r="Z20" s="50">
        <v>8</v>
      </c>
      <c r="AA20" s="50">
        <v>8</v>
      </c>
      <c r="AB20" s="50">
        <v>8</v>
      </c>
      <c r="AC20" s="50">
        <v>8</v>
      </c>
      <c r="AD20" s="50">
        <v>8</v>
      </c>
      <c r="AE20" s="50">
        <v>8</v>
      </c>
      <c r="AF20" s="50">
        <v>8</v>
      </c>
      <c r="AG20" s="55">
        <v>28</v>
      </c>
      <c r="AH20" s="52">
        <f t="shared" si="2"/>
        <v>8</v>
      </c>
      <c r="AI20" s="53">
        <f t="shared" si="3"/>
        <v>8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6.5</v>
      </c>
      <c r="C21" s="50">
        <v>6.5</v>
      </c>
      <c r="D21" s="50">
        <v>6.5</v>
      </c>
      <c r="E21" s="50">
        <v>6.5</v>
      </c>
      <c r="F21" s="50">
        <v>6.5</v>
      </c>
      <c r="G21" s="50">
        <v>6.5</v>
      </c>
      <c r="H21" s="50">
        <v>6.5</v>
      </c>
      <c r="I21" s="50">
        <v>6.5</v>
      </c>
      <c r="J21" s="50">
        <v>6.5</v>
      </c>
      <c r="K21" s="50">
        <v>6.5</v>
      </c>
      <c r="L21" s="50">
        <v>6.5</v>
      </c>
      <c r="M21" s="50">
        <v>6.5</v>
      </c>
      <c r="N21" s="50">
        <v>6.5</v>
      </c>
      <c r="O21" s="50">
        <v>6.5</v>
      </c>
      <c r="P21" s="50">
        <v>6.5</v>
      </c>
      <c r="Q21" s="50">
        <v>6.5</v>
      </c>
      <c r="R21" s="50">
        <v>6.5</v>
      </c>
      <c r="S21" s="50">
        <v>6.5</v>
      </c>
      <c r="T21" s="50">
        <v>6.5</v>
      </c>
      <c r="U21" s="50">
        <v>6.5</v>
      </c>
      <c r="V21" s="50">
        <v>6.5</v>
      </c>
      <c r="W21" s="50">
        <v>6.5</v>
      </c>
      <c r="X21" s="50">
        <v>6.5</v>
      </c>
      <c r="Y21" s="50">
        <v>6.5</v>
      </c>
      <c r="Z21" s="50">
        <v>6.5</v>
      </c>
      <c r="AA21" s="50">
        <v>6.5</v>
      </c>
      <c r="AB21" s="50">
        <v>6.5</v>
      </c>
      <c r="AC21" s="50">
        <v>6.5</v>
      </c>
      <c r="AD21" s="50">
        <v>6.5</v>
      </c>
      <c r="AE21" s="50">
        <v>6.5</v>
      </c>
      <c r="AF21" s="50">
        <v>6.5</v>
      </c>
      <c r="AG21" s="56">
        <v>30</v>
      </c>
      <c r="AH21" s="52">
        <f t="shared" si="2"/>
        <v>6.5</v>
      </c>
      <c r="AI21" s="53">
        <f t="shared" si="3"/>
        <v>6.5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12</v>
      </c>
      <c r="C22" s="50">
        <v>12</v>
      </c>
      <c r="D22" s="50">
        <v>12</v>
      </c>
      <c r="E22" s="50">
        <v>12</v>
      </c>
      <c r="F22" s="50">
        <v>12</v>
      </c>
      <c r="G22" s="50">
        <v>12</v>
      </c>
      <c r="H22" s="50">
        <v>12</v>
      </c>
      <c r="I22" s="50">
        <v>12</v>
      </c>
      <c r="J22" s="50">
        <v>12</v>
      </c>
      <c r="K22" s="50">
        <v>12</v>
      </c>
      <c r="L22" s="50">
        <v>12</v>
      </c>
      <c r="M22" s="50">
        <v>12</v>
      </c>
      <c r="N22" s="50">
        <v>12</v>
      </c>
      <c r="O22" s="50">
        <v>12</v>
      </c>
      <c r="P22" s="50">
        <v>12</v>
      </c>
      <c r="Q22" s="50">
        <v>10.199999999999999</v>
      </c>
      <c r="R22" s="50">
        <v>10.199999999999999</v>
      </c>
      <c r="S22" s="50">
        <v>10.199999999999999</v>
      </c>
      <c r="T22" s="50">
        <v>10.199999999999999</v>
      </c>
      <c r="U22" s="50">
        <v>10.199999999999999</v>
      </c>
      <c r="V22" s="50">
        <v>10.199999999999999</v>
      </c>
      <c r="W22" s="50">
        <v>10.199999999999999</v>
      </c>
      <c r="X22" s="50">
        <v>10.199999999999999</v>
      </c>
      <c r="Y22" s="50">
        <v>10.199999999999999</v>
      </c>
      <c r="Z22" s="50">
        <v>10.199999999999999</v>
      </c>
      <c r="AA22" s="50">
        <v>10.199999999999999</v>
      </c>
      <c r="AB22" s="50">
        <v>10.199999999999999</v>
      </c>
      <c r="AC22" s="50">
        <v>10.199999999999999</v>
      </c>
      <c r="AD22" s="50">
        <v>10.199999999999999</v>
      </c>
      <c r="AE22" s="50">
        <v>10.199999999999999</v>
      </c>
      <c r="AF22" s="50">
        <v>10.199999999999999</v>
      </c>
      <c r="AG22" s="55">
        <v>25</v>
      </c>
      <c r="AH22" s="52">
        <f t="shared" si="2"/>
        <v>12</v>
      </c>
      <c r="AI22" s="53">
        <f t="shared" si="3"/>
        <v>10.199999999999999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13</v>
      </c>
      <c r="C23" s="50">
        <v>13</v>
      </c>
      <c r="D23" s="50">
        <v>13</v>
      </c>
      <c r="E23" s="50">
        <v>13</v>
      </c>
      <c r="F23" s="50">
        <v>13</v>
      </c>
      <c r="G23" s="50">
        <v>13</v>
      </c>
      <c r="H23" s="50">
        <v>13</v>
      </c>
      <c r="I23" s="50">
        <v>13</v>
      </c>
      <c r="J23" s="50">
        <v>13</v>
      </c>
      <c r="K23" s="50">
        <v>13</v>
      </c>
      <c r="L23" s="50">
        <v>13</v>
      </c>
      <c r="M23" s="50">
        <v>13</v>
      </c>
      <c r="N23" s="50">
        <v>13</v>
      </c>
      <c r="O23" s="50">
        <v>13</v>
      </c>
      <c r="P23" s="50">
        <v>13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5">
        <v>25</v>
      </c>
      <c r="AH23" s="52">
        <f t="shared" si="2"/>
        <v>13</v>
      </c>
      <c r="AI23" s="53">
        <f t="shared" si="3"/>
        <v>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0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0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5.9</v>
      </c>
      <c r="C26" s="50">
        <v>5.9</v>
      </c>
      <c r="D26" s="50">
        <v>5.9</v>
      </c>
      <c r="E26" s="50">
        <v>5.9</v>
      </c>
      <c r="F26" s="50">
        <v>5.9</v>
      </c>
      <c r="G26" s="50">
        <v>5.9</v>
      </c>
      <c r="H26" s="50">
        <v>5.9</v>
      </c>
      <c r="I26" s="50">
        <v>5.9</v>
      </c>
      <c r="J26" s="50">
        <v>5.9</v>
      </c>
      <c r="K26" s="50">
        <v>5.9</v>
      </c>
      <c r="L26" s="50">
        <v>5.9</v>
      </c>
      <c r="M26" s="50">
        <v>5.9</v>
      </c>
      <c r="N26" s="50">
        <v>5.9</v>
      </c>
      <c r="O26" s="50">
        <v>5.9</v>
      </c>
      <c r="P26" s="50">
        <v>5.9</v>
      </c>
      <c r="Q26" s="50">
        <v>6.8</v>
      </c>
      <c r="R26" s="50">
        <v>6.8</v>
      </c>
      <c r="S26" s="50">
        <v>6.8</v>
      </c>
      <c r="T26" s="50">
        <v>6.8</v>
      </c>
      <c r="U26" s="50">
        <v>6.8</v>
      </c>
      <c r="V26" s="50">
        <v>6.8</v>
      </c>
      <c r="W26" s="50">
        <v>6.8</v>
      </c>
      <c r="X26" s="50">
        <v>6.8</v>
      </c>
      <c r="Y26" s="50">
        <v>6.8</v>
      </c>
      <c r="Z26" s="50">
        <v>6.8</v>
      </c>
      <c r="AA26" s="50">
        <v>6.8</v>
      </c>
      <c r="AB26" s="50">
        <v>6.8</v>
      </c>
      <c r="AC26" s="50">
        <v>6.8</v>
      </c>
      <c r="AD26" s="50">
        <v>6.8</v>
      </c>
      <c r="AE26" s="50">
        <v>6.8</v>
      </c>
      <c r="AF26" s="50">
        <v>6.8</v>
      </c>
      <c r="AG26" s="55">
        <v>23.5</v>
      </c>
      <c r="AH26" s="52">
        <f t="shared" si="2"/>
        <v>6.8</v>
      </c>
      <c r="AI26" s="53">
        <f t="shared" si="3"/>
        <v>5.9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5">
        <v>22</v>
      </c>
      <c r="AH29" s="52">
        <f t="shared" si="2"/>
        <v>0</v>
      </c>
      <c r="AI29" s="53">
        <f t="shared" si="3"/>
        <v>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5">
        <v>22</v>
      </c>
      <c r="AH30" s="52">
        <f t="shared" si="2"/>
        <v>12</v>
      </c>
      <c r="AI30" s="53">
        <f t="shared" si="3"/>
        <v>10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55">
        <v>20</v>
      </c>
      <c r="AH31" s="52">
        <f t="shared" si="2"/>
        <v>6</v>
      </c>
      <c r="AI31" s="53">
        <f t="shared" si="3"/>
        <v>6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>
        <v>4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8.9</v>
      </c>
      <c r="C33" s="50">
        <v>8.9</v>
      </c>
      <c r="D33" s="50">
        <v>8.9</v>
      </c>
      <c r="E33" s="50">
        <v>8.9</v>
      </c>
      <c r="F33" s="50">
        <v>8.9</v>
      </c>
      <c r="G33" s="50">
        <v>8.9</v>
      </c>
      <c r="H33" s="50">
        <v>8.9</v>
      </c>
      <c r="I33" s="50">
        <v>8.9</v>
      </c>
      <c r="J33" s="50">
        <v>8.9</v>
      </c>
      <c r="K33" s="50">
        <v>8.9</v>
      </c>
      <c r="L33" s="50">
        <v>8.9</v>
      </c>
      <c r="M33" s="50">
        <v>8.9</v>
      </c>
      <c r="N33" s="50">
        <v>8.9</v>
      </c>
      <c r="O33" s="50">
        <v>8.9</v>
      </c>
      <c r="P33" s="50">
        <v>8.9</v>
      </c>
      <c r="Q33" s="50">
        <v>8.9</v>
      </c>
      <c r="R33" s="50">
        <v>8.9</v>
      </c>
      <c r="S33" s="50">
        <v>8.9</v>
      </c>
      <c r="T33" s="50">
        <v>8.9</v>
      </c>
      <c r="U33" s="50">
        <v>8.9</v>
      </c>
      <c r="V33" s="50">
        <v>8.9</v>
      </c>
      <c r="W33" s="50">
        <v>8.9</v>
      </c>
      <c r="X33" s="50">
        <v>8.9</v>
      </c>
      <c r="Y33" s="50">
        <v>8.9</v>
      </c>
      <c r="Z33" s="50">
        <v>8.9</v>
      </c>
      <c r="AA33" s="50">
        <v>8.9</v>
      </c>
      <c r="AB33" s="50">
        <v>8.9</v>
      </c>
      <c r="AC33" s="50">
        <v>8.9</v>
      </c>
      <c r="AD33" s="50">
        <v>8.9</v>
      </c>
      <c r="AE33" s="50">
        <v>8.9</v>
      </c>
      <c r="AF33" s="50">
        <v>8.9</v>
      </c>
      <c r="AG33" s="55">
        <v>14.9</v>
      </c>
      <c r="AH33" s="52">
        <f t="shared" si="2"/>
        <v>8.9</v>
      </c>
      <c r="AI33" s="53">
        <f t="shared" si="3"/>
        <v>8.9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5.2</v>
      </c>
      <c r="C38" s="50">
        <v>5.2</v>
      </c>
      <c r="D38" s="50">
        <v>5.2</v>
      </c>
      <c r="E38" s="50">
        <v>5.2</v>
      </c>
      <c r="F38" s="50">
        <v>5.2</v>
      </c>
      <c r="G38" s="50">
        <v>5.2</v>
      </c>
      <c r="H38" s="50">
        <v>5.2</v>
      </c>
      <c r="I38" s="50">
        <v>5.2</v>
      </c>
      <c r="J38" s="50">
        <v>5.2</v>
      </c>
      <c r="K38" s="50">
        <v>5.2</v>
      </c>
      <c r="L38" s="50">
        <v>5.2</v>
      </c>
      <c r="M38" s="50">
        <v>5.2</v>
      </c>
      <c r="N38" s="50">
        <v>5.2</v>
      </c>
      <c r="O38" s="50">
        <v>5.2</v>
      </c>
      <c r="P38" s="50">
        <v>5.2</v>
      </c>
      <c r="Q38" s="50">
        <v>5.2</v>
      </c>
      <c r="R38" s="50">
        <v>5.2</v>
      </c>
      <c r="S38" s="50">
        <v>5.2</v>
      </c>
      <c r="T38" s="50">
        <v>5.2</v>
      </c>
      <c r="U38" s="50">
        <v>5.2</v>
      </c>
      <c r="V38" s="50">
        <v>5.2</v>
      </c>
      <c r="W38" s="50">
        <v>5.2</v>
      </c>
      <c r="X38" s="50">
        <v>5.2</v>
      </c>
      <c r="Y38" s="50">
        <v>5.2</v>
      </c>
      <c r="Z38" s="50">
        <v>5.2</v>
      </c>
      <c r="AA38" s="50">
        <v>5.2</v>
      </c>
      <c r="AB38" s="50">
        <v>5.2</v>
      </c>
      <c r="AC38" s="50">
        <v>5.2</v>
      </c>
      <c r="AD38" s="50">
        <v>5.2</v>
      </c>
      <c r="AE38" s="50">
        <v>5.2</v>
      </c>
      <c r="AF38" s="50">
        <v>5.2</v>
      </c>
      <c r="AG38" s="55">
        <v>12</v>
      </c>
      <c r="AH38" s="52">
        <f t="shared" si="2"/>
        <v>5.2</v>
      </c>
      <c r="AI38" s="53">
        <f t="shared" si="3"/>
        <v>5.2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50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3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140</v>
      </c>
      <c r="C46" s="63">
        <v>140</v>
      </c>
      <c r="D46" s="63">
        <v>140</v>
      </c>
      <c r="E46" s="63">
        <v>140</v>
      </c>
      <c r="F46" s="63">
        <v>140</v>
      </c>
      <c r="G46" s="63">
        <v>140</v>
      </c>
      <c r="H46" s="63">
        <v>140</v>
      </c>
      <c r="I46" s="63">
        <v>140</v>
      </c>
      <c r="J46" s="63">
        <v>140</v>
      </c>
      <c r="K46" s="63">
        <v>140</v>
      </c>
      <c r="L46" s="63">
        <v>140</v>
      </c>
      <c r="M46" s="63">
        <v>140</v>
      </c>
      <c r="N46" s="63">
        <v>140</v>
      </c>
      <c r="O46" s="63">
        <v>140</v>
      </c>
      <c r="P46" s="63">
        <v>140</v>
      </c>
      <c r="Q46" s="63">
        <v>140</v>
      </c>
      <c r="R46" s="63">
        <v>140</v>
      </c>
      <c r="S46" s="63">
        <v>140</v>
      </c>
      <c r="T46" s="63">
        <v>140</v>
      </c>
      <c r="U46" s="63">
        <v>140</v>
      </c>
      <c r="V46" s="63">
        <v>140</v>
      </c>
      <c r="W46" s="63">
        <v>140</v>
      </c>
      <c r="X46" s="63">
        <v>140</v>
      </c>
      <c r="Y46" s="63">
        <v>140</v>
      </c>
      <c r="Z46" s="63">
        <v>140</v>
      </c>
      <c r="AA46" s="63">
        <v>140</v>
      </c>
      <c r="AB46" s="63">
        <v>140</v>
      </c>
      <c r="AC46" s="63">
        <v>140</v>
      </c>
      <c r="AD46" s="63">
        <v>140</v>
      </c>
      <c r="AE46" s="63">
        <v>140</v>
      </c>
      <c r="AF46" s="63">
        <v>140</v>
      </c>
      <c r="AG46" s="61">
        <v>85</v>
      </c>
      <c r="AH46" s="52">
        <f t="shared" si="2"/>
        <v>140</v>
      </c>
      <c r="AI46" s="53">
        <f t="shared" si="3"/>
        <v>140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>SUM(B11:B46)</f>
        <v>427.4</v>
      </c>
      <c r="C48" s="67">
        <f t="shared" ref="C48:AF48" si="4">SUM(C11:C46)</f>
        <v>427.4</v>
      </c>
      <c r="D48" s="67">
        <f t="shared" si="4"/>
        <v>427.4</v>
      </c>
      <c r="E48" s="67">
        <f t="shared" si="4"/>
        <v>431</v>
      </c>
      <c r="F48" s="67">
        <f t="shared" si="4"/>
        <v>431</v>
      </c>
      <c r="G48" s="67">
        <f t="shared" ref="G48" si="5">SUM(G11:G46)</f>
        <v>431</v>
      </c>
      <c r="H48" s="67">
        <f t="shared" si="4"/>
        <v>431</v>
      </c>
      <c r="I48" s="67">
        <f t="shared" si="4"/>
        <v>431</v>
      </c>
      <c r="J48" s="67">
        <f t="shared" si="4"/>
        <v>431</v>
      </c>
      <c r="K48" s="67">
        <f t="shared" si="4"/>
        <v>427.99999999999994</v>
      </c>
      <c r="L48" s="67">
        <f t="shared" si="4"/>
        <v>427.99999999999994</v>
      </c>
      <c r="M48" s="67">
        <f t="shared" si="4"/>
        <v>427.99999999999994</v>
      </c>
      <c r="N48" s="67">
        <f t="shared" si="4"/>
        <v>427.99999999999994</v>
      </c>
      <c r="O48" s="67">
        <f t="shared" si="4"/>
        <v>427.99999999999994</v>
      </c>
      <c r="P48" s="67">
        <f t="shared" si="4"/>
        <v>427.99999999999994</v>
      </c>
      <c r="Q48" s="67">
        <f t="shared" si="4"/>
        <v>409.3</v>
      </c>
      <c r="R48" s="67">
        <f t="shared" si="4"/>
        <v>409.3</v>
      </c>
      <c r="S48" s="67">
        <f t="shared" si="4"/>
        <v>409.3</v>
      </c>
      <c r="T48" s="67">
        <f t="shared" si="4"/>
        <v>409.3</v>
      </c>
      <c r="U48" s="67">
        <f t="shared" si="4"/>
        <v>409.3</v>
      </c>
      <c r="V48" s="67">
        <f t="shared" si="4"/>
        <v>409.3</v>
      </c>
      <c r="W48" s="67">
        <f t="shared" ref="W48" si="6">SUM(W11:W46)</f>
        <v>409.3</v>
      </c>
      <c r="X48" s="67">
        <f t="shared" si="4"/>
        <v>409.3</v>
      </c>
      <c r="Y48" s="67">
        <f t="shared" si="4"/>
        <v>409.3</v>
      </c>
      <c r="Z48" s="67">
        <f t="shared" si="4"/>
        <v>409.3</v>
      </c>
      <c r="AA48" s="67">
        <v>382.29999999999995</v>
      </c>
      <c r="AB48" s="67">
        <f t="shared" si="4"/>
        <v>409.3</v>
      </c>
      <c r="AC48" s="67">
        <f t="shared" si="4"/>
        <v>409.3</v>
      </c>
      <c r="AD48" s="67">
        <f t="shared" si="4"/>
        <v>409.3</v>
      </c>
      <c r="AE48" s="67">
        <f t="shared" si="4"/>
        <v>415.3</v>
      </c>
      <c r="AF48" s="67">
        <f t="shared" si="4"/>
        <v>415.3</v>
      </c>
      <c r="AG48" s="68">
        <f t="shared" ref="AG48" si="7">SUM(AG12:AG46)</f>
        <v>875.68</v>
      </c>
      <c r="AH48" s="52">
        <f t="shared" si="2"/>
        <v>431</v>
      </c>
      <c r="AI48" s="53">
        <f t="shared" si="3"/>
        <v>382.29999999999995</v>
      </c>
      <c r="AK48" s="54"/>
    </row>
    <row r="49" spans="1:41" x14ac:dyDescent="0.25">
      <c r="A49" s="69" t="s">
        <v>57</v>
      </c>
      <c r="B49" s="50">
        <v>60</v>
      </c>
      <c r="C49" s="50">
        <v>70</v>
      </c>
      <c r="D49" s="50">
        <v>70</v>
      </c>
      <c r="E49" s="50">
        <v>80</v>
      </c>
      <c r="F49" s="50">
        <v>60</v>
      </c>
      <c r="G49" s="50">
        <v>80</v>
      </c>
      <c r="H49" s="50">
        <v>80</v>
      </c>
      <c r="I49" s="50">
        <v>80</v>
      </c>
      <c r="J49" s="50">
        <v>80</v>
      </c>
      <c r="K49" s="50">
        <v>80</v>
      </c>
      <c r="L49" s="50">
        <v>80</v>
      </c>
      <c r="M49" s="70">
        <v>80</v>
      </c>
      <c r="N49" s="70">
        <v>60</v>
      </c>
      <c r="O49" s="50">
        <v>20</v>
      </c>
      <c r="P49" s="50">
        <v>40</v>
      </c>
      <c r="Q49" s="50">
        <v>70</v>
      </c>
      <c r="R49" s="50">
        <v>50</v>
      </c>
      <c r="S49" s="50">
        <v>90</v>
      </c>
      <c r="T49" s="50">
        <v>70</v>
      </c>
      <c r="U49" s="50">
        <v>50</v>
      </c>
      <c r="V49" s="50">
        <v>40</v>
      </c>
      <c r="W49" s="50">
        <v>40</v>
      </c>
      <c r="X49" s="50">
        <v>40</v>
      </c>
      <c r="Y49" s="50">
        <v>40</v>
      </c>
      <c r="Z49" s="50">
        <v>130</v>
      </c>
      <c r="AA49" s="50">
        <v>204</v>
      </c>
      <c r="AB49" s="50">
        <v>185</v>
      </c>
      <c r="AC49" s="50">
        <v>185</v>
      </c>
      <c r="AD49" s="50">
        <v>115</v>
      </c>
      <c r="AE49" s="50">
        <v>20</v>
      </c>
      <c r="AF49" s="50">
        <v>20</v>
      </c>
      <c r="AG49" s="56">
        <v>456</v>
      </c>
      <c r="AH49" s="52">
        <f t="shared" si="2"/>
        <v>204</v>
      </c>
      <c r="AI49" s="53">
        <f t="shared" si="3"/>
        <v>20</v>
      </c>
      <c r="AK49" s="54"/>
    </row>
    <row r="50" spans="1:41" x14ac:dyDescent="0.25">
      <c r="A50" s="71" t="s">
        <v>58</v>
      </c>
      <c r="B50" s="72">
        <v>44</v>
      </c>
      <c r="C50" s="72">
        <v>44</v>
      </c>
      <c r="D50" s="72">
        <v>44</v>
      </c>
      <c r="E50" s="72">
        <v>44</v>
      </c>
      <c r="F50" s="72">
        <v>44.6</v>
      </c>
      <c r="G50" s="72">
        <v>44</v>
      </c>
      <c r="H50" s="72">
        <v>44</v>
      </c>
      <c r="I50" s="72">
        <v>44</v>
      </c>
      <c r="J50" s="72">
        <v>44</v>
      </c>
      <c r="K50" s="72">
        <v>44</v>
      </c>
      <c r="L50" s="72">
        <v>44</v>
      </c>
      <c r="M50" s="72">
        <v>28</v>
      </c>
      <c r="N50" s="72">
        <v>28</v>
      </c>
      <c r="O50" s="72">
        <v>28</v>
      </c>
      <c r="P50" s="72">
        <v>28</v>
      </c>
      <c r="Q50" s="72">
        <v>28</v>
      </c>
      <c r="R50" s="72">
        <v>28</v>
      </c>
      <c r="S50" s="72">
        <v>28</v>
      </c>
      <c r="T50" s="72">
        <v>28</v>
      </c>
      <c r="U50" s="72">
        <v>28</v>
      </c>
      <c r="V50" s="72">
        <v>28</v>
      </c>
      <c r="W50" s="72">
        <v>28</v>
      </c>
      <c r="X50" s="72">
        <v>28</v>
      </c>
      <c r="Y50" s="72">
        <v>28</v>
      </c>
      <c r="Z50" s="72">
        <v>28</v>
      </c>
      <c r="AA50" s="72">
        <v>28</v>
      </c>
      <c r="AB50" s="72">
        <v>28</v>
      </c>
      <c r="AC50" s="72">
        <v>28</v>
      </c>
      <c r="AD50" s="72">
        <v>28</v>
      </c>
      <c r="AE50" s="72">
        <v>28</v>
      </c>
      <c r="AF50" s="72">
        <v>28</v>
      </c>
      <c r="AG50" s="61">
        <v>60</v>
      </c>
      <c r="AH50" s="52">
        <f t="shared" si="2"/>
        <v>44.6</v>
      </c>
      <c r="AI50" s="53">
        <f t="shared" si="3"/>
        <v>28</v>
      </c>
      <c r="AK50" s="54"/>
    </row>
    <row r="51" spans="1:41" ht="15.75" thickBot="1" x14ac:dyDescent="0.3">
      <c r="A51" s="73" t="s">
        <v>59</v>
      </c>
      <c r="B51" s="74">
        <v>11.7</v>
      </c>
      <c r="C51" s="74">
        <v>11.7</v>
      </c>
      <c r="D51" s="74">
        <v>11.7</v>
      </c>
      <c r="E51" s="74">
        <v>11.7</v>
      </c>
      <c r="F51" s="74">
        <v>11.6</v>
      </c>
      <c r="G51" s="74">
        <v>11.7</v>
      </c>
      <c r="H51" s="74">
        <v>11.7</v>
      </c>
      <c r="I51" s="74">
        <v>11.6</v>
      </c>
      <c r="J51" s="74">
        <v>11.6</v>
      </c>
      <c r="K51" s="74">
        <v>11.6</v>
      </c>
      <c r="L51" s="74">
        <v>11.6</v>
      </c>
      <c r="M51" s="74">
        <v>11.2</v>
      </c>
      <c r="N51" s="74">
        <v>11.2</v>
      </c>
      <c r="O51" s="74">
        <v>11.2</v>
      </c>
      <c r="P51" s="74">
        <v>11.2</v>
      </c>
      <c r="Q51" s="74">
        <v>11.2</v>
      </c>
      <c r="R51" s="74">
        <v>11.3</v>
      </c>
      <c r="S51" s="74">
        <v>11.3</v>
      </c>
      <c r="T51" s="74">
        <v>11.3</v>
      </c>
      <c r="U51" s="74">
        <v>11.3</v>
      </c>
      <c r="V51" s="74">
        <v>11.3</v>
      </c>
      <c r="W51" s="74">
        <v>11.3</v>
      </c>
      <c r="X51" s="74">
        <v>11.3</v>
      </c>
      <c r="Y51" s="74">
        <v>11.3</v>
      </c>
      <c r="Z51" s="74">
        <v>11.3</v>
      </c>
      <c r="AA51" s="74">
        <v>11.3</v>
      </c>
      <c r="AB51" s="74">
        <v>11.3</v>
      </c>
      <c r="AC51" s="74">
        <v>11.3</v>
      </c>
      <c r="AD51" s="74">
        <v>11.3</v>
      </c>
      <c r="AE51" s="74">
        <v>11.3</v>
      </c>
      <c r="AF51" s="74">
        <v>11.3</v>
      </c>
      <c r="AG51" s="75">
        <v>22.1</v>
      </c>
      <c r="AH51" s="52">
        <f t="shared" si="2"/>
        <v>11.7</v>
      </c>
      <c r="AI51" s="53">
        <f t="shared" si="3"/>
        <v>11.2</v>
      </c>
      <c r="AK51" s="54"/>
    </row>
    <row r="52" spans="1:41" ht="15.75" thickBot="1" x14ac:dyDescent="0.3">
      <c r="A52" s="76" t="s">
        <v>60</v>
      </c>
      <c r="B52" s="67">
        <f t="shared" ref="B52:AG52" si="8">SUM(B49:B51)</f>
        <v>115.7</v>
      </c>
      <c r="C52" s="67">
        <f t="shared" si="8"/>
        <v>125.7</v>
      </c>
      <c r="D52" s="67">
        <f t="shared" si="8"/>
        <v>125.7</v>
      </c>
      <c r="E52" s="67">
        <f t="shared" si="8"/>
        <v>135.69999999999999</v>
      </c>
      <c r="F52" s="67">
        <f t="shared" si="8"/>
        <v>116.19999999999999</v>
      </c>
      <c r="G52" s="67">
        <f t="shared" si="8"/>
        <v>135.69999999999999</v>
      </c>
      <c r="H52" s="67">
        <f t="shared" si="8"/>
        <v>135.69999999999999</v>
      </c>
      <c r="I52" s="67">
        <f t="shared" si="8"/>
        <v>135.6</v>
      </c>
      <c r="J52" s="67">
        <f t="shared" si="8"/>
        <v>135.6</v>
      </c>
      <c r="K52" s="67">
        <f t="shared" si="8"/>
        <v>135.6</v>
      </c>
      <c r="L52" s="67">
        <f t="shared" si="8"/>
        <v>135.6</v>
      </c>
      <c r="M52" s="67">
        <f t="shared" si="8"/>
        <v>119.2</v>
      </c>
      <c r="N52" s="67">
        <f t="shared" si="8"/>
        <v>99.2</v>
      </c>
      <c r="O52" s="67">
        <f t="shared" si="8"/>
        <v>59.2</v>
      </c>
      <c r="P52" s="67">
        <f t="shared" si="8"/>
        <v>79.2</v>
      </c>
      <c r="Q52" s="67">
        <f t="shared" si="8"/>
        <v>109.2</v>
      </c>
      <c r="R52" s="67">
        <f t="shared" si="8"/>
        <v>89.3</v>
      </c>
      <c r="S52" s="67">
        <f t="shared" si="8"/>
        <v>129.30000000000001</v>
      </c>
      <c r="T52" s="67">
        <f t="shared" si="8"/>
        <v>109.3</v>
      </c>
      <c r="U52" s="67">
        <f t="shared" si="8"/>
        <v>89.3</v>
      </c>
      <c r="V52" s="67">
        <f t="shared" si="8"/>
        <v>79.3</v>
      </c>
      <c r="W52" s="67">
        <f t="shared" si="8"/>
        <v>79.3</v>
      </c>
      <c r="X52" s="67">
        <f t="shared" si="8"/>
        <v>79.3</v>
      </c>
      <c r="Y52" s="67">
        <f t="shared" si="8"/>
        <v>79.3</v>
      </c>
      <c r="Z52" s="67">
        <f t="shared" si="8"/>
        <v>169.3</v>
      </c>
      <c r="AA52" s="67">
        <v>234.3</v>
      </c>
      <c r="AB52" s="67">
        <f t="shared" si="8"/>
        <v>224.3</v>
      </c>
      <c r="AC52" s="67">
        <f t="shared" si="8"/>
        <v>224.3</v>
      </c>
      <c r="AD52" s="67">
        <f t="shared" si="8"/>
        <v>154.30000000000001</v>
      </c>
      <c r="AE52" s="67">
        <f t="shared" si="8"/>
        <v>59.3</v>
      </c>
      <c r="AF52" s="67">
        <f t="shared" si="8"/>
        <v>59.3</v>
      </c>
      <c r="AG52" s="68">
        <f t="shared" si="8"/>
        <v>538.1</v>
      </c>
      <c r="AH52" s="52">
        <f t="shared" si="2"/>
        <v>234.3</v>
      </c>
      <c r="AI52" s="53">
        <f t="shared" si="3"/>
        <v>59.2</v>
      </c>
      <c r="AK52" s="54"/>
    </row>
    <row r="53" spans="1:41" x14ac:dyDescent="0.25">
      <c r="A53" s="49" t="s">
        <v>61</v>
      </c>
      <c r="B53" s="50">
        <v>70</v>
      </c>
      <c r="C53" s="50">
        <v>81</v>
      </c>
      <c r="D53" s="50">
        <v>66</v>
      </c>
      <c r="E53" s="50">
        <v>35</v>
      </c>
      <c r="F53" s="50">
        <v>40</v>
      </c>
      <c r="G53" s="50">
        <v>48.5</v>
      </c>
      <c r="H53" s="50">
        <v>48.5</v>
      </c>
      <c r="I53" s="50">
        <v>81.3</v>
      </c>
      <c r="J53" s="50">
        <v>96.3</v>
      </c>
      <c r="K53" s="50">
        <v>96.3</v>
      </c>
      <c r="L53" s="50">
        <v>70</v>
      </c>
      <c r="M53" s="50">
        <v>70.900000000000006</v>
      </c>
      <c r="N53" s="50">
        <v>70.900000000000006</v>
      </c>
      <c r="O53" s="50">
        <v>61.3</v>
      </c>
      <c r="P53" s="50">
        <v>60.7</v>
      </c>
      <c r="Q53" s="50">
        <v>97.1</v>
      </c>
      <c r="R53" s="50">
        <v>93.8</v>
      </c>
      <c r="S53" s="50">
        <v>97.5</v>
      </c>
      <c r="T53" s="50">
        <v>97.1</v>
      </c>
      <c r="U53" s="50">
        <v>97</v>
      </c>
      <c r="V53" s="50">
        <v>97</v>
      </c>
      <c r="W53" s="50">
        <v>95</v>
      </c>
      <c r="X53" s="50">
        <v>81</v>
      </c>
      <c r="Y53" s="50">
        <v>80.900000000000006</v>
      </c>
      <c r="Z53" s="50">
        <v>87</v>
      </c>
      <c r="AA53" s="50">
        <v>120</v>
      </c>
      <c r="AB53" s="50">
        <v>101</v>
      </c>
      <c r="AC53" s="50">
        <v>101</v>
      </c>
      <c r="AD53" s="50">
        <v>66</v>
      </c>
      <c r="AE53" s="50">
        <v>30.5</v>
      </c>
      <c r="AF53" s="50">
        <v>0</v>
      </c>
      <c r="AG53" s="56">
        <v>144</v>
      </c>
      <c r="AH53" s="52">
        <f t="shared" si="2"/>
        <v>120</v>
      </c>
      <c r="AI53" s="53">
        <f t="shared" si="3"/>
        <v>0</v>
      </c>
      <c r="AK53" s="54"/>
    </row>
    <row r="54" spans="1:41" x14ac:dyDescent="0.25">
      <c r="A54" s="60" t="s">
        <v>62</v>
      </c>
      <c r="B54" s="72">
        <v>34</v>
      </c>
      <c r="C54" s="72">
        <v>34</v>
      </c>
      <c r="D54" s="72">
        <v>34</v>
      </c>
      <c r="E54" s="72">
        <v>34</v>
      </c>
      <c r="F54" s="72">
        <v>0</v>
      </c>
      <c r="G54" s="72">
        <v>0</v>
      </c>
      <c r="H54" s="72">
        <v>0</v>
      </c>
      <c r="I54" s="72">
        <v>33.799999999999997</v>
      </c>
      <c r="J54" s="72">
        <v>66.400000000000006</v>
      </c>
      <c r="K54" s="72">
        <v>66.400000000000006</v>
      </c>
      <c r="L54" s="72">
        <v>43.9</v>
      </c>
      <c r="M54" s="72">
        <v>45.2</v>
      </c>
      <c r="N54" s="72">
        <v>34.799999999999997</v>
      </c>
      <c r="O54" s="72">
        <v>24.9</v>
      </c>
      <c r="P54" s="72">
        <v>43.6</v>
      </c>
      <c r="Q54" s="72">
        <v>54.4</v>
      </c>
      <c r="R54" s="50">
        <v>46.6</v>
      </c>
      <c r="S54" s="50">
        <v>59.5</v>
      </c>
      <c r="T54" s="50">
        <v>44.7</v>
      </c>
      <c r="U54" s="50">
        <v>23.6</v>
      </c>
      <c r="V54" s="50">
        <v>23.6</v>
      </c>
      <c r="W54" s="50">
        <v>23.5</v>
      </c>
      <c r="X54" s="50">
        <v>0</v>
      </c>
      <c r="Y54" s="50">
        <v>0</v>
      </c>
      <c r="Z54" s="50">
        <v>21.9</v>
      </c>
      <c r="AA54" s="50">
        <v>21.9</v>
      </c>
      <c r="AB54" s="50">
        <v>22</v>
      </c>
      <c r="AC54" s="50">
        <v>22</v>
      </c>
      <c r="AD54" s="50">
        <v>22</v>
      </c>
      <c r="AE54" s="50">
        <v>0</v>
      </c>
      <c r="AF54" s="72">
        <v>0</v>
      </c>
      <c r="AG54" s="61">
        <v>70</v>
      </c>
      <c r="AH54" s="52">
        <f t="shared" si="2"/>
        <v>66.400000000000006</v>
      </c>
      <c r="AI54" s="53">
        <f t="shared" si="3"/>
        <v>0</v>
      </c>
      <c r="AK54" s="54"/>
    </row>
    <row r="55" spans="1:41" x14ac:dyDescent="0.25">
      <c r="A55" s="60" t="s">
        <v>63</v>
      </c>
      <c r="B55" s="72">
        <v>35</v>
      </c>
      <c r="C55" s="72">
        <v>46</v>
      </c>
      <c r="D55" s="72">
        <v>46</v>
      </c>
      <c r="E55" s="72">
        <v>32</v>
      </c>
      <c r="F55" s="72">
        <v>32</v>
      </c>
      <c r="G55" s="72">
        <v>20.2</v>
      </c>
      <c r="H55" s="72">
        <v>20.2</v>
      </c>
      <c r="I55" s="72">
        <v>46.2</v>
      </c>
      <c r="J55" s="72">
        <v>65.3</v>
      </c>
      <c r="K55" s="72">
        <v>65.3</v>
      </c>
      <c r="L55" s="72">
        <v>33.799999999999997</v>
      </c>
      <c r="M55" s="72">
        <v>33.799999999999997</v>
      </c>
      <c r="N55" s="72">
        <v>16</v>
      </c>
      <c r="O55" s="72">
        <v>16.2</v>
      </c>
      <c r="P55" s="72">
        <v>16.2</v>
      </c>
      <c r="Q55" s="72">
        <v>22.6</v>
      </c>
      <c r="R55" s="50">
        <v>16</v>
      </c>
      <c r="S55" s="50">
        <v>22.5</v>
      </c>
      <c r="T55" s="50">
        <v>42.8</v>
      </c>
      <c r="U55" s="50">
        <v>32.700000000000003</v>
      </c>
      <c r="V55" s="50">
        <v>32.700000000000003</v>
      </c>
      <c r="W55" s="50">
        <v>44.8</v>
      </c>
      <c r="X55" s="50">
        <v>44.8</v>
      </c>
      <c r="Y55" s="50">
        <v>44.9</v>
      </c>
      <c r="Z55" s="50">
        <v>44</v>
      </c>
      <c r="AA55" s="50">
        <v>66.3</v>
      </c>
      <c r="AB55" s="50">
        <v>50.7</v>
      </c>
      <c r="AC55" s="50">
        <v>50.7</v>
      </c>
      <c r="AD55" s="50">
        <v>32</v>
      </c>
      <c r="AE55" s="50">
        <v>32.1</v>
      </c>
      <c r="AF55" s="72">
        <v>32</v>
      </c>
      <c r="AG55" s="61">
        <v>69</v>
      </c>
      <c r="AH55" s="52">
        <f t="shared" si="2"/>
        <v>66.3</v>
      </c>
      <c r="AI55" s="53">
        <f t="shared" si="3"/>
        <v>16</v>
      </c>
      <c r="AK55" s="54"/>
    </row>
    <row r="56" spans="1:41" x14ac:dyDescent="0.25">
      <c r="A56" s="60" t="s">
        <v>64</v>
      </c>
      <c r="B56" s="72">
        <v>40</v>
      </c>
      <c r="C56" s="72">
        <v>42.3</v>
      </c>
      <c r="D56" s="72">
        <v>42.3</v>
      </c>
      <c r="E56" s="63">
        <v>42.999000000000002</v>
      </c>
      <c r="F56" s="63">
        <v>43</v>
      </c>
      <c r="G56" s="63">
        <v>43</v>
      </c>
      <c r="H56" s="63">
        <v>43</v>
      </c>
      <c r="I56" s="63">
        <v>43</v>
      </c>
      <c r="J56" s="63">
        <v>43</v>
      </c>
      <c r="K56" s="63">
        <v>43</v>
      </c>
      <c r="L56" s="63">
        <v>40</v>
      </c>
      <c r="M56" s="63">
        <v>40</v>
      </c>
      <c r="N56" s="63">
        <v>40</v>
      </c>
      <c r="O56" s="63">
        <v>40</v>
      </c>
      <c r="P56" s="72">
        <v>39.1</v>
      </c>
      <c r="Q56" s="72">
        <v>39.299999999999997</v>
      </c>
      <c r="R56" s="72">
        <v>39.299999999999997</v>
      </c>
      <c r="S56" s="72">
        <v>39.299999999999997</v>
      </c>
      <c r="T56" s="50">
        <v>38.799999999999997</v>
      </c>
      <c r="U56" s="50">
        <v>38.799999999999997</v>
      </c>
      <c r="V56" s="50">
        <v>38.799999999999997</v>
      </c>
      <c r="W56" s="50">
        <v>37.299999999999997</v>
      </c>
      <c r="X56" s="50">
        <v>38.299999999999997</v>
      </c>
      <c r="Y56" s="50">
        <v>39.299999999999997</v>
      </c>
      <c r="Z56" s="50">
        <v>39.299999999999997</v>
      </c>
      <c r="AA56" s="50">
        <v>39.299999999999997</v>
      </c>
      <c r="AB56" s="50">
        <v>44</v>
      </c>
      <c r="AC56" s="50">
        <v>44</v>
      </c>
      <c r="AD56" s="50">
        <v>44</v>
      </c>
      <c r="AE56" s="50">
        <v>44</v>
      </c>
      <c r="AF56" s="50">
        <v>44</v>
      </c>
      <c r="AG56" s="61">
        <v>60</v>
      </c>
      <c r="AH56" s="52">
        <f t="shared" si="2"/>
        <v>44</v>
      </c>
      <c r="AI56" s="53">
        <f t="shared" si="3"/>
        <v>37.299999999999997</v>
      </c>
      <c r="AK56" s="54"/>
    </row>
    <row r="57" spans="1:41" x14ac:dyDescent="0.25">
      <c r="A57" s="60" t="s">
        <v>65</v>
      </c>
      <c r="B57" s="72">
        <v>13</v>
      </c>
      <c r="C57" s="72">
        <v>13</v>
      </c>
      <c r="D57" s="72">
        <v>13</v>
      </c>
      <c r="E57" s="63">
        <v>13</v>
      </c>
      <c r="F57" s="63">
        <v>13</v>
      </c>
      <c r="G57" s="63">
        <v>0</v>
      </c>
      <c r="H57" s="63">
        <v>0</v>
      </c>
      <c r="I57" s="63">
        <v>0</v>
      </c>
      <c r="J57" s="63">
        <v>0</v>
      </c>
      <c r="K57" s="63">
        <v>0</v>
      </c>
      <c r="L57" s="63">
        <v>14.8</v>
      </c>
      <c r="M57" s="63">
        <v>14.8</v>
      </c>
      <c r="N57" s="63">
        <v>14.8</v>
      </c>
      <c r="O57" s="63">
        <v>14.8</v>
      </c>
      <c r="P57" s="72">
        <v>21.6</v>
      </c>
      <c r="Q57" s="72">
        <v>22.8</v>
      </c>
      <c r="R57" s="72">
        <v>22.8</v>
      </c>
      <c r="S57" s="72">
        <v>22.8</v>
      </c>
      <c r="T57" s="50">
        <v>21.2</v>
      </c>
      <c r="U57" s="50">
        <v>21.2</v>
      </c>
      <c r="V57" s="50">
        <v>21.2</v>
      </c>
      <c r="W57" s="50">
        <v>21.2</v>
      </c>
      <c r="X57" s="50">
        <v>0</v>
      </c>
      <c r="Y57" s="50">
        <v>0</v>
      </c>
      <c r="Z57" s="50">
        <v>0</v>
      </c>
      <c r="AA57" s="50">
        <v>15</v>
      </c>
      <c r="AB57" s="50">
        <v>15</v>
      </c>
      <c r="AC57" s="50">
        <v>15</v>
      </c>
      <c r="AD57" s="50">
        <v>10</v>
      </c>
      <c r="AE57" s="50">
        <v>10</v>
      </c>
      <c r="AF57" s="50">
        <v>10</v>
      </c>
      <c r="AG57" s="61">
        <v>30</v>
      </c>
      <c r="AH57" s="52">
        <f t="shared" si="2"/>
        <v>22.8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5.7</v>
      </c>
      <c r="N58" s="50">
        <v>7</v>
      </c>
      <c r="O58" s="50">
        <v>12</v>
      </c>
      <c r="P58" s="72">
        <v>16.399999999999999</v>
      </c>
      <c r="Q58" s="72">
        <v>20</v>
      </c>
      <c r="R58" s="72">
        <v>18.899999999999999</v>
      </c>
      <c r="S58" s="72">
        <v>18.899999999999999</v>
      </c>
      <c r="T58" s="50">
        <v>8</v>
      </c>
      <c r="U58" s="50">
        <v>8</v>
      </c>
      <c r="V58" s="50">
        <v>8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20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12</v>
      </c>
      <c r="C59" s="72">
        <v>12</v>
      </c>
      <c r="D59" s="72">
        <v>12</v>
      </c>
      <c r="E59" s="72">
        <v>12</v>
      </c>
      <c r="F59" s="72">
        <v>12</v>
      </c>
      <c r="G59" s="72">
        <v>12</v>
      </c>
      <c r="H59" s="72">
        <v>12</v>
      </c>
      <c r="I59" s="72">
        <v>12</v>
      </c>
      <c r="J59" s="72">
        <v>12</v>
      </c>
      <c r="K59" s="72">
        <v>12</v>
      </c>
      <c r="L59" s="72">
        <v>12</v>
      </c>
      <c r="M59" s="72">
        <v>12</v>
      </c>
      <c r="N59" s="72">
        <v>12</v>
      </c>
      <c r="O59" s="72">
        <v>12</v>
      </c>
      <c r="P59" s="72">
        <v>12</v>
      </c>
      <c r="Q59" s="72">
        <v>12</v>
      </c>
      <c r="R59" s="72">
        <v>12</v>
      </c>
      <c r="S59" s="72">
        <v>12</v>
      </c>
      <c r="T59" s="72">
        <v>12</v>
      </c>
      <c r="U59" s="72">
        <v>12</v>
      </c>
      <c r="V59" s="72">
        <v>12</v>
      </c>
      <c r="W59" s="72">
        <v>12</v>
      </c>
      <c r="X59" s="72">
        <v>12</v>
      </c>
      <c r="Y59" s="72">
        <v>12</v>
      </c>
      <c r="Z59" s="72">
        <v>12</v>
      </c>
      <c r="AA59" s="72">
        <v>12</v>
      </c>
      <c r="AB59" s="72">
        <v>12</v>
      </c>
      <c r="AC59" s="72">
        <v>12</v>
      </c>
      <c r="AD59" s="72">
        <v>12</v>
      </c>
      <c r="AE59" s="72">
        <v>12</v>
      </c>
      <c r="AF59" s="72">
        <v>12</v>
      </c>
      <c r="AG59" s="61">
        <v>24</v>
      </c>
      <c r="AH59" s="52">
        <f t="shared" si="2"/>
        <v>12</v>
      </c>
      <c r="AI59" s="53">
        <f t="shared" si="3"/>
        <v>12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9.6999999999999993</v>
      </c>
      <c r="C61" s="72">
        <v>9.6999999999999993</v>
      </c>
      <c r="D61" s="72">
        <v>9.6999999999999993</v>
      </c>
      <c r="E61" s="72">
        <v>9.6999999999999993</v>
      </c>
      <c r="F61" s="72">
        <v>9.6999999999999993</v>
      </c>
      <c r="G61" s="72">
        <v>9.6999999999999993</v>
      </c>
      <c r="H61" s="72">
        <v>9.6999999999999993</v>
      </c>
      <c r="I61" s="72">
        <v>9.6999999999999993</v>
      </c>
      <c r="J61" s="72">
        <v>9.6999999999999993</v>
      </c>
      <c r="K61" s="72">
        <v>9.6999999999999993</v>
      </c>
      <c r="L61" s="72">
        <v>9.6999999999999993</v>
      </c>
      <c r="M61" s="72">
        <v>9.6999999999999993</v>
      </c>
      <c r="N61" s="72">
        <v>9.6999999999999993</v>
      </c>
      <c r="O61" s="72">
        <v>9.6999999999999993</v>
      </c>
      <c r="P61" s="72">
        <v>9.6999999999999993</v>
      </c>
      <c r="Q61" s="72">
        <v>9.9</v>
      </c>
      <c r="R61" s="72">
        <v>9.9</v>
      </c>
      <c r="S61" s="72">
        <v>9.9</v>
      </c>
      <c r="T61" s="72">
        <v>9.9</v>
      </c>
      <c r="U61" s="72">
        <v>9.9</v>
      </c>
      <c r="V61" s="72">
        <v>9.9</v>
      </c>
      <c r="W61" s="72">
        <v>9.9</v>
      </c>
      <c r="X61" s="72">
        <v>9.9</v>
      </c>
      <c r="Y61" s="72">
        <v>9.9</v>
      </c>
      <c r="Z61" s="72">
        <v>9.9</v>
      </c>
      <c r="AA61" s="72">
        <v>9.9</v>
      </c>
      <c r="AB61" s="72">
        <v>9.9</v>
      </c>
      <c r="AC61" s="72">
        <v>9.9</v>
      </c>
      <c r="AD61" s="72">
        <v>9.9</v>
      </c>
      <c r="AE61" s="72">
        <v>9.9</v>
      </c>
      <c r="AF61" s="72">
        <v>9.9</v>
      </c>
      <c r="AG61" s="61">
        <v>14.1</v>
      </c>
      <c r="AH61" s="52">
        <f t="shared" si="2"/>
        <v>9.9</v>
      </c>
      <c r="AI61" s="53">
        <f t="shared" si="3"/>
        <v>9.6999999999999993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6.8</v>
      </c>
      <c r="C62" s="72">
        <v>6.8</v>
      </c>
      <c r="D62" s="72">
        <v>6.8</v>
      </c>
      <c r="E62" s="72">
        <v>6.8</v>
      </c>
      <c r="F62" s="72">
        <v>6.8</v>
      </c>
      <c r="G62" s="72">
        <v>6.8</v>
      </c>
      <c r="H62" s="72">
        <v>6.8</v>
      </c>
      <c r="I62" s="72">
        <v>6.8</v>
      </c>
      <c r="J62" s="72">
        <v>6.8</v>
      </c>
      <c r="K62" s="72">
        <v>6.8</v>
      </c>
      <c r="L62" s="72">
        <v>6.8</v>
      </c>
      <c r="M62" s="72">
        <v>6.8</v>
      </c>
      <c r="N62" s="72">
        <v>6.8</v>
      </c>
      <c r="O62" s="72">
        <v>6.8</v>
      </c>
      <c r="P62" s="72">
        <v>6.8</v>
      </c>
      <c r="Q62" s="72">
        <v>6</v>
      </c>
      <c r="R62" s="72">
        <v>6</v>
      </c>
      <c r="S62" s="72">
        <v>6</v>
      </c>
      <c r="T62" s="72">
        <v>6</v>
      </c>
      <c r="U62" s="72">
        <v>6</v>
      </c>
      <c r="V62" s="72">
        <v>6</v>
      </c>
      <c r="W62" s="72">
        <v>6</v>
      </c>
      <c r="X62" s="72">
        <v>6</v>
      </c>
      <c r="Y62" s="72">
        <v>6</v>
      </c>
      <c r="Z62" s="72">
        <v>6</v>
      </c>
      <c r="AA62" s="72">
        <v>6</v>
      </c>
      <c r="AB62" s="72">
        <v>6</v>
      </c>
      <c r="AC62" s="72">
        <v>6</v>
      </c>
      <c r="AD62" s="72">
        <v>6</v>
      </c>
      <c r="AE62" s="72">
        <v>6</v>
      </c>
      <c r="AF62" s="72">
        <v>6</v>
      </c>
      <c r="AG62" s="61">
        <v>14</v>
      </c>
      <c r="AH62" s="52">
        <f t="shared" si="2"/>
        <v>6.8</v>
      </c>
      <c r="AI62" s="53">
        <f t="shared" si="3"/>
        <v>6</v>
      </c>
      <c r="AK62" s="54"/>
    </row>
    <row r="63" spans="1:41" x14ac:dyDescent="0.25">
      <c r="A63" s="60" t="s">
        <v>71</v>
      </c>
      <c r="B63" s="72">
        <v>3</v>
      </c>
      <c r="C63" s="72">
        <v>3</v>
      </c>
      <c r="D63" s="72">
        <v>3</v>
      </c>
      <c r="E63" s="72">
        <v>3</v>
      </c>
      <c r="F63" s="72">
        <v>3</v>
      </c>
      <c r="G63" s="72">
        <v>3</v>
      </c>
      <c r="H63" s="72">
        <v>3</v>
      </c>
      <c r="I63" s="72">
        <v>3</v>
      </c>
      <c r="J63" s="72">
        <v>3</v>
      </c>
      <c r="K63" s="72">
        <v>3</v>
      </c>
      <c r="L63" s="72">
        <v>3</v>
      </c>
      <c r="M63" s="72">
        <v>3</v>
      </c>
      <c r="N63" s="72">
        <v>3</v>
      </c>
      <c r="O63" s="72">
        <v>3</v>
      </c>
      <c r="P63" s="72">
        <v>3</v>
      </c>
      <c r="Q63" s="72">
        <v>3</v>
      </c>
      <c r="R63" s="72">
        <v>3</v>
      </c>
      <c r="S63" s="72">
        <v>3</v>
      </c>
      <c r="T63" s="72">
        <v>3</v>
      </c>
      <c r="U63" s="72">
        <v>3</v>
      </c>
      <c r="V63" s="72">
        <v>3</v>
      </c>
      <c r="W63" s="72">
        <v>3</v>
      </c>
      <c r="X63" s="72">
        <v>3</v>
      </c>
      <c r="Y63" s="72">
        <v>3</v>
      </c>
      <c r="Z63" s="72">
        <v>3</v>
      </c>
      <c r="AA63" s="72">
        <v>3</v>
      </c>
      <c r="AB63" s="72">
        <v>3</v>
      </c>
      <c r="AC63" s="72">
        <v>3</v>
      </c>
      <c r="AD63" s="72">
        <v>3</v>
      </c>
      <c r="AE63" s="72">
        <v>3</v>
      </c>
      <c r="AF63" s="72">
        <v>3</v>
      </c>
      <c r="AG63" s="61">
        <v>10.050000000000001</v>
      </c>
      <c r="AH63" s="52">
        <f t="shared" si="2"/>
        <v>3</v>
      </c>
      <c r="AI63" s="53">
        <f t="shared" si="3"/>
        <v>3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:AG66" si="9">SUM(B53:B65)</f>
        <v>229.04</v>
      </c>
      <c r="C66" s="67">
        <f t="shared" si="9"/>
        <v>253.34</v>
      </c>
      <c r="D66" s="67">
        <f t="shared" si="9"/>
        <v>238.34</v>
      </c>
      <c r="E66" s="67">
        <f t="shared" si="9"/>
        <v>194.03899999999999</v>
      </c>
      <c r="F66" s="67">
        <f t="shared" si="9"/>
        <v>165.04</v>
      </c>
      <c r="G66" s="67">
        <f t="shared" si="9"/>
        <v>148.74</v>
      </c>
      <c r="H66" s="67">
        <f t="shared" si="9"/>
        <v>148.74</v>
      </c>
      <c r="I66" s="67">
        <f t="shared" si="9"/>
        <v>241.34</v>
      </c>
      <c r="J66" s="67">
        <f t="shared" si="9"/>
        <v>308.04000000000002</v>
      </c>
      <c r="K66" s="67">
        <f t="shared" si="9"/>
        <v>308.04000000000002</v>
      </c>
      <c r="L66" s="67">
        <f t="shared" si="9"/>
        <v>239.54</v>
      </c>
      <c r="M66" s="67">
        <f t="shared" si="9"/>
        <v>247.44</v>
      </c>
      <c r="N66" s="67">
        <f t="shared" si="9"/>
        <v>220.54</v>
      </c>
      <c r="O66" s="67">
        <f t="shared" si="9"/>
        <v>206.23999999999998</v>
      </c>
      <c r="P66" s="67">
        <f t="shared" si="9"/>
        <v>234.64000000000001</v>
      </c>
      <c r="Q66" s="67">
        <f t="shared" si="9"/>
        <v>292.64</v>
      </c>
      <c r="R66" s="67">
        <f t="shared" si="9"/>
        <v>273.84000000000003</v>
      </c>
      <c r="S66" s="67">
        <f t="shared" si="9"/>
        <v>296.94</v>
      </c>
      <c r="T66" s="67">
        <f t="shared" si="9"/>
        <v>289.04000000000002</v>
      </c>
      <c r="U66" s="67">
        <f t="shared" si="9"/>
        <v>257.74</v>
      </c>
      <c r="V66" s="67">
        <f t="shared" si="9"/>
        <v>257.74</v>
      </c>
      <c r="W66" s="67">
        <f t="shared" si="9"/>
        <v>258.24</v>
      </c>
      <c r="X66" s="67">
        <f t="shared" si="9"/>
        <v>200.54</v>
      </c>
      <c r="Y66" s="67">
        <f t="shared" si="9"/>
        <v>201.54000000000002</v>
      </c>
      <c r="Z66" s="67">
        <f t="shared" si="9"/>
        <v>228.64</v>
      </c>
      <c r="AA66" s="67">
        <v>267.33999999999997</v>
      </c>
      <c r="AB66" s="67">
        <f t="shared" si="9"/>
        <v>269.14000000000004</v>
      </c>
      <c r="AC66" s="67">
        <f t="shared" si="9"/>
        <v>269.14000000000004</v>
      </c>
      <c r="AD66" s="67">
        <f t="shared" si="9"/>
        <v>210.44</v>
      </c>
      <c r="AE66" s="67">
        <f t="shared" si="9"/>
        <v>153.04</v>
      </c>
      <c r="AF66" s="67">
        <f t="shared" si="9"/>
        <v>122.44000000000001</v>
      </c>
      <c r="AG66" s="68">
        <f t="shared" si="9"/>
        <v>489.91</v>
      </c>
      <c r="AH66" s="52">
        <f t="shared" si="2"/>
        <v>308.04000000000002</v>
      </c>
      <c r="AI66" s="53">
        <f t="shared" si="3"/>
        <v>122.44000000000001</v>
      </c>
      <c r="AK66" s="54"/>
    </row>
    <row r="67" spans="1:40" x14ac:dyDescent="0.25">
      <c r="A67" s="49" t="s">
        <v>75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>
        <v>0</v>
      </c>
      <c r="N67" s="50">
        <v>0</v>
      </c>
      <c r="O67" s="50">
        <v>0</v>
      </c>
      <c r="P67" s="50">
        <v>0</v>
      </c>
      <c r="Q67" s="50">
        <v>10</v>
      </c>
      <c r="R67" s="50">
        <v>20</v>
      </c>
      <c r="S67" s="50">
        <v>30</v>
      </c>
      <c r="T67" s="50">
        <v>30</v>
      </c>
      <c r="U67" s="50">
        <v>30</v>
      </c>
      <c r="V67" s="50">
        <v>14</v>
      </c>
      <c r="W67" s="50">
        <v>14</v>
      </c>
      <c r="X67" s="50">
        <v>10</v>
      </c>
      <c r="Y67" s="50">
        <v>10</v>
      </c>
      <c r="Z67" s="50">
        <v>10</v>
      </c>
      <c r="AA67" s="50">
        <v>0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6">
        <v>60</v>
      </c>
      <c r="AH67" s="52">
        <f t="shared" si="2"/>
        <v>30</v>
      </c>
      <c r="AI67" s="53">
        <f t="shared" si="3"/>
        <v>0</v>
      </c>
      <c r="AK67" s="54"/>
    </row>
    <row r="68" spans="1:40" x14ac:dyDescent="0.25">
      <c r="A68" s="60" t="s">
        <v>76</v>
      </c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>
        <v>0</v>
      </c>
      <c r="N68" s="72">
        <v>0</v>
      </c>
      <c r="O68" s="72">
        <v>0</v>
      </c>
      <c r="P68" s="72">
        <v>0</v>
      </c>
      <c r="Q68" s="50">
        <v>3.8</v>
      </c>
      <c r="R68" s="50">
        <v>10</v>
      </c>
      <c r="S68" s="72">
        <v>14.9</v>
      </c>
      <c r="T68" s="72">
        <v>14.9</v>
      </c>
      <c r="U68" s="72">
        <v>14.9</v>
      </c>
      <c r="V68" s="72">
        <v>5.4</v>
      </c>
      <c r="W68" s="72">
        <v>5.4</v>
      </c>
      <c r="X68" s="72">
        <v>4.3</v>
      </c>
      <c r="Y68" s="72">
        <v>2.7</v>
      </c>
      <c r="Z68" s="72">
        <v>2.7</v>
      </c>
      <c r="AA68" s="72">
        <v>0</v>
      </c>
      <c r="AB68" s="72">
        <v>0</v>
      </c>
      <c r="AC68" s="72">
        <v>0</v>
      </c>
      <c r="AD68" s="72">
        <v>0</v>
      </c>
      <c r="AE68" s="72">
        <v>0</v>
      </c>
      <c r="AF68" s="72">
        <v>0</v>
      </c>
      <c r="AG68" s="61">
        <v>32</v>
      </c>
      <c r="AH68" s="52">
        <f t="shared" si="2"/>
        <v>14.9</v>
      </c>
      <c r="AI68" s="53">
        <f t="shared" si="3"/>
        <v>0</v>
      </c>
      <c r="AK68" s="54"/>
    </row>
    <row r="69" spans="1:40" ht="15.75" thickBot="1" x14ac:dyDescent="0.3">
      <c r="A69" s="78" t="s">
        <v>77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>
        <v>0</v>
      </c>
      <c r="N69" s="74">
        <v>0</v>
      </c>
      <c r="O69" s="74">
        <v>0</v>
      </c>
      <c r="P69" s="74">
        <v>0</v>
      </c>
      <c r="Q69" s="50">
        <v>1.4</v>
      </c>
      <c r="R69" s="50">
        <v>3.6</v>
      </c>
      <c r="S69" s="74">
        <v>5.4</v>
      </c>
      <c r="T69" s="74">
        <v>5.4</v>
      </c>
      <c r="U69" s="74">
        <v>5.4</v>
      </c>
      <c r="V69" s="74">
        <v>2</v>
      </c>
      <c r="W69" s="74">
        <v>2</v>
      </c>
      <c r="X69" s="74">
        <v>1.6</v>
      </c>
      <c r="Y69" s="74">
        <v>1</v>
      </c>
      <c r="Z69" s="74">
        <v>1</v>
      </c>
      <c r="AA69" s="74">
        <v>0</v>
      </c>
      <c r="AB69" s="74">
        <v>0</v>
      </c>
      <c r="AC69" s="74">
        <v>0</v>
      </c>
      <c r="AD69" s="74">
        <v>0</v>
      </c>
      <c r="AE69" s="74">
        <v>0</v>
      </c>
      <c r="AF69" s="74">
        <v>0</v>
      </c>
      <c r="AG69" s="75">
        <v>14</v>
      </c>
      <c r="AH69" s="52">
        <f t="shared" si="2"/>
        <v>5.4</v>
      </c>
      <c r="AI69" s="53">
        <f t="shared" si="3"/>
        <v>0</v>
      </c>
      <c r="AK69" s="54"/>
    </row>
    <row r="70" spans="1:40" ht="15.75" thickBot="1" x14ac:dyDescent="0.3">
      <c r="A70" s="81" t="s">
        <v>78</v>
      </c>
      <c r="B70" s="67">
        <f>B67+B68+B69</f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0</v>
      </c>
      <c r="M70" s="67">
        <f t="shared" ref="M70:AF70" si="10">M67+M68+M69</f>
        <v>0</v>
      </c>
      <c r="N70" s="67">
        <f t="shared" si="10"/>
        <v>0</v>
      </c>
      <c r="O70" s="67">
        <f t="shared" si="10"/>
        <v>0</v>
      </c>
      <c r="P70" s="67">
        <f t="shared" si="10"/>
        <v>0</v>
      </c>
      <c r="Q70" s="67">
        <f t="shared" si="10"/>
        <v>15.200000000000001</v>
      </c>
      <c r="R70" s="67">
        <f t="shared" si="10"/>
        <v>33.6</v>
      </c>
      <c r="S70" s="67">
        <f t="shared" si="10"/>
        <v>50.3</v>
      </c>
      <c r="T70" s="67">
        <f t="shared" si="10"/>
        <v>50.3</v>
      </c>
      <c r="U70" s="67">
        <f t="shared" si="10"/>
        <v>50.3</v>
      </c>
      <c r="V70" s="67">
        <f t="shared" si="10"/>
        <v>21.4</v>
      </c>
      <c r="W70" s="67">
        <f t="shared" si="10"/>
        <v>21.4</v>
      </c>
      <c r="X70" s="67">
        <f t="shared" si="10"/>
        <v>15.9</v>
      </c>
      <c r="Y70" s="67">
        <f t="shared" si="10"/>
        <v>13.7</v>
      </c>
      <c r="Z70" s="67">
        <f t="shared" si="10"/>
        <v>13.7</v>
      </c>
      <c r="AA70" s="67">
        <v>4.8</v>
      </c>
      <c r="AB70" s="67">
        <f t="shared" si="10"/>
        <v>0</v>
      </c>
      <c r="AC70" s="67">
        <f t="shared" si="10"/>
        <v>0</v>
      </c>
      <c r="AD70" s="67">
        <f t="shared" si="10"/>
        <v>0</v>
      </c>
      <c r="AE70" s="67">
        <f t="shared" si="10"/>
        <v>0</v>
      </c>
      <c r="AF70" s="67">
        <f t="shared" si="10"/>
        <v>0</v>
      </c>
      <c r="AG70" s="68">
        <f>SUM(AG67:AG69)</f>
        <v>106</v>
      </c>
      <c r="AH70" s="52">
        <f t="shared" si="2"/>
        <v>50.3</v>
      </c>
      <c r="AI70" s="53">
        <f t="shared" si="3"/>
        <v>0</v>
      </c>
      <c r="AK70" s="54"/>
    </row>
    <row r="71" spans="1:40" x14ac:dyDescent="0.25">
      <c r="A71" s="49" t="s">
        <v>79</v>
      </c>
      <c r="B71" s="50">
        <v>48</v>
      </c>
      <c r="C71" s="50">
        <v>45</v>
      </c>
      <c r="D71" s="50">
        <v>40.700000000000003</v>
      </c>
      <c r="E71" s="50">
        <v>43</v>
      </c>
      <c r="F71" s="50">
        <v>45</v>
      </c>
      <c r="G71" s="50">
        <v>55</v>
      </c>
      <c r="H71" s="50">
        <v>63.2</v>
      </c>
      <c r="I71" s="50">
        <v>55</v>
      </c>
      <c r="J71" s="50">
        <v>62</v>
      </c>
      <c r="K71" s="50">
        <v>45</v>
      </c>
      <c r="L71" s="50">
        <v>47</v>
      </c>
      <c r="M71" s="50">
        <v>38.9</v>
      </c>
      <c r="N71" s="50">
        <v>47</v>
      </c>
      <c r="O71" s="50">
        <v>58.3</v>
      </c>
      <c r="P71" s="50">
        <v>54.9</v>
      </c>
      <c r="Q71" s="50">
        <v>63.6</v>
      </c>
      <c r="R71" s="50">
        <v>68.099999999999994</v>
      </c>
      <c r="S71" s="50">
        <v>72</v>
      </c>
      <c r="T71" s="50">
        <v>73</v>
      </c>
      <c r="U71" s="50">
        <v>50</v>
      </c>
      <c r="V71" s="50">
        <v>63</v>
      </c>
      <c r="W71" s="50">
        <v>60.2</v>
      </c>
      <c r="X71" s="50">
        <v>56.7</v>
      </c>
      <c r="Y71" s="50">
        <v>50.7</v>
      </c>
      <c r="Z71" s="50">
        <v>58.1</v>
      </c>
      <c r="AA71" s="50">
        <v>59</v>
      </c>
      <c r="AB71" s="50">
        <v>48</v>
      </c>
      <c r="AC71" s="50">
        <v>59</v>
      </c>
      <c r="AD71" s="50">
        <v>50</v>
      </c>
      <c r="AE71" s="50">
        <v>45</v>
      </c>
      <c r="AF71" s="50">
        <v>45</v>
      </c>
      <c r="AG71" s="56"/>
      <c r="AH71" s="52">
        <f t="shared" si="2"/>
        <v>73</v>
      </c>
      <c r="AI71" s="53">
        <f t="shared" si="3"/>
        <v>38.9</v>
      </c>
      <c r="AK71" s="54"/>
    </row>
    <row r="72" spans="1:40" x14ac:dyDescent="0.25">
      <c r="A72" s="60" t="s">
        <v>80</v>
      </c>
      <c r="B72" s="72"/>
      <c r="C72" s="72"/>
      <c r="D72" s="72"/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347</v>
      </c>
      <c r="C73" s="72">
        <v>332</v>
      </c>
      <c r="D73" s="72">
        <v>339</v>
      </c>
      <c r="E73" s="72">
        <v>346</v>
      </c>
      <c r="F73" s="72">
        <v>330</v>
      </c>
      <c r="G73" s="72">
        <v>352</v>
      </c>
      <c r="H73" s="72">
        <v>344</v>
      </c>
      <c r="I73" s="72">
        <v>345</v>
      </c>
      <c r="J73" s="72">
        <v>396</v>
      </c>
      <c r="K73" s="72">
        <v>382</v>
      </c>
      <c r="L73" s="72">
        <v>410</v>
      </c>
      <c r="M73" s="72">
        <v>405.9</v>
      </c>
      <c r="N73" s="72">
        <v>394</v>
      </c>
      <c r="O73" s="72">
        <v>419.4</v>
      </c>
      <c r="P73" s="72">
        <v>447</v>
      </c>
      <c r="Q73" s="72">
        <v>435.9</v>
      </c>
      <c r="R73" s="72">
        <v>441.5</v>
      </c>
      <c r="S73" s="72">
        <v>421.5</v>
      </c>
      <c r="T73" s="72">
        <v>435</v>
      </c>
      <c r="U73" s="72">
        <v>430</v>
      </c>
      <c r="V73" s="72">
        <v>430</v>
      </c>
      <c r="W73" s="72">
        <v>434</v>
      </c>
      <c r="X73" s="72">
        <v>434</v>
      </c>
      <c r="Y73" s="72">
        <v>376.9</v>
      </c>
      <c r="Z73" s="72">
        <v>370</v>
      </c>
      <c r="AA73" s="72">
        <v>330</v>
      </c>
      <c r="AB73" s="72">
        <v>310</v>
      </c>
      <c r="AC73" s="72">
        <v>330</v>
      </c>
      <c r="AD73" s="72">
        <v>336</v>
      </c>
      <c r="AE73" s="72">
        <v>365</v>
      </c>
      <c r="AF73" s="72">
        <v>403</v>
      </c>
      <c r="AG73" s="82"/>
      <c r="AH73" s="52">
        <f t="shared" si="2"/>
        <v>447</v>
      </c>
      <c r="AI73" s="53">
        <f t="shared" si="3"/>
        <v>310</v>
      </c>
      <c r="AK73" s="54"/>
    </row>
    <row r="74" spans="1:40" x14ac:dyDescent="0.25">
      <c r="A74" s="60" t="s">
        <v>82</v>
      </c>
      <c r="B74" s="72">
        <v>10</v>
      </c>
      <c r="C74" s="72">
        <v>10</v>
      </c>
      <c r="D74" s="72">
        <v>10</v>
      </c>
      <c r="E74" s="83">
        <v>51.5</v>
      </c>
      <c r="F74" s="83">
        <v>49</v>
      </c>
      <c r="G74" s="83">
        <v>49.9</v>
      </c>
      <c r="H74" s="83">
        <v>49.9</v>
      </c>
      <c r="I74" s="83">
        <v>48.8</v>
      </c>
      <c r="J74" s="83">
        <v>44.9</v>
      </c>
      <c r="K74" s="83">
        <v>49.8</v>
      </c>
      <c r="L74" s="83">
        <v>48.6</v>
      </c>
      <c r="M74" s="83">
        <v>51.6</v>
      </c>
      <c r="N74" s="83">
        <v>54.7</v>
      </c>
      <c r="O74" s="83">
        <v>55.5</v>
      </c>
      <c r="P74" s="83">
        <v>53.3</v>
      </c>
      <c r="Q74" s="83">
        <v>56.1</v>
      </c>
      <c r="R74" s="83">
        <v>52</v>
      </c>
      <c r="S74" s="83">
        <v>52</v>
      </c>
      <c r="T74" s="83">
        <v>52</v>
      </c>
      <c r="U74" s="83">
        <v>52</v>
      </c>
      <c r="V74" s="83">
        <v>45</v>
      </c>
      <c r="W74" s="83">
        <v>45</v>
      </c>
      <c r="X74" s="83">
        <v>45.6</v>
      </c>
      <c r="Y74" s="83">
        <v>47.3</v>
      </c>
      <c r="Z74" s="83">
        <v>47.3</v>
      </c>
      <c r="AA74" s="72">
        <v>47.3</v>
      </c>
      <c r="AB74" s="72">
        <v>47</v>
      </c>
      <c r="AC74" s="72">
        <v>47.3</v>
      </c>
      <c r="AD74" s="72">
        <v>48</v>
      </c>
      <c r="AE74" s="72">
        <v>48</v>
      </c>
      <c r="AF74" s="72">
        <v>47</v>
      </c>
      <c r="AG74" s="82"/>
      <c r="AH74" s="52">
        <f t="shared" si="2"/>
        <v>56.1</v>
      </c>
      <c r="AI74" s="53">
        <f t="shared" si="3"/>
        <v>10</v>
      </c>
      <c r="AK74" s="54"/>
    </row>
    <row r="75" spans="1:40" x14ac:dyDescent="0.25">
      <c r="A75" s="60" t="s">
        <v>83</v>
      </c>
      <c r="B75" s="50"/>
      <c r="C75" s="50"/>
      <c r="D75" s="50"/>
      <c r="E75" s="50">
        <v>0</v>
      </c>
      <c r="F75" s="50">
        <v>0</v>
      </c>
      <c r="G75" s="50">
        <v>21.5</v>
      </c>
      <c r="H75" s="50">
        <v>20.6</v>
      </c>
      <c r="I75" s="50">
        <v>21</v>
      </c>
      <c r="J75" s="50">
        <v>23.4</v>
      </c>
      <c r="K75" s="50">
        <v>24.1</v>
      </c>
      <c r="L75" s="50">
        <v>26.1</v>
      </c>
      <c r="M75" s="50">
        <v>26.6</v>
      </c>
      <c r="N75" s="50">
        <v>29.2</v>
      </c>
      <c r="O75" s="50">
        <v>29.5</v>
      </c>
      <c r="P75" s="50">
        <v>26.3</v>
      </c>
      <c r="Q75" s="50">
        <v>22.3</v>
      </c>
      <c r="R75" s="50">
        <v>23.8</v>
      </c>
      <c r="S75" s="50">
        <v>35.200000000000003</v>
      </c>
      <c r="T75" s="50">
        <v>35.200000000000003</v>
      </c>
      <c r="U75" s="50">
        <v>31.7</v>
      </c>
      <c r="V75" s="50">
        <v>27</v>
      </c>
      <c r="W75" s="50">
        <v>27</v>
      </c>
      <c r="X75" s="50">
        <v>24.4</v>
      </c>
      <c r="Y75" s="50">
        <v>27.4</v>
      </c>
      <c r="Z75" s="50">
        <v>27.4</v>
      </c>
      <c r="AA75" s="50">
        <v>26.7</v>
      </c>
      <c r="AB75" s="50">
        <v>26.2</v>
      </c>
      <c r="AC75" s="50">
        <v>26.7</v>
      </c>
      <c r="AD75" s="50">
        <v>26.3</v>
      </c>
      <c r="AE75" s="50">
        <v>28.4</v>
      </c>
      <c r="AF75" s="50">
        <v>30.1</v>
      </c>
      <c r="AG75" s="82"/>
      <c r="AH75" s="52">
        <f t="shared" ref="AH75:AH117" si="11">MAX(B75:AF75)</f>
        <v>35.200000000000003</v>
      </c>
      <c r="AI75" s="53">
        <f t="shared" ref="AI75:AI117" si="12">MIN(B75:AF75)</f>
        <v>0</v>
      </c>
      <c r="AK75" s="54"/>
    </row>
    <row r="76" spans="1:40" x14ac:dyDescent="0.25">
      <c r="A76" s="60" t="s">
        <v>84</v>
      </c>
      <c r="B76" s="84"/>
      <c r="C76" s="84"/>
      <c r="D76" s="84"/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2"/>
      <c r="AH76" s="52">
        <f t="shared" si="11"/>
        <v>0</v>
      </c>
      <c r="AI76" s="53">
        <f t="shared" si="12"/>
        <v>0</v>
      </c>
      <c r="AK76" s="54"/>
    </row>
    <row r="77" spans="1:40" ht="15.75" thickBot="1" x14ac:dyDescent="0.3">
      <c r="A77" s="60" t="s">
        <v>85</v>
      </c>
      <c r="B77" s="84"/>
      <c r="C77" s="84"/>
      <c r="D77" s="84"/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3</v>
      </c>
      <c r="V77" s="84">
        <v>3</v>
      </c>
      <c r="W77" s="84">
        <v>3</v>
      </c>
      <c r="X77" s="84">
        <v>3</v>
      </c>
      <c r="Y77" s="84">
        <v>3</v>
      </c>
      <c r="Z77" s="84">
        <v>3</v>
      </c>
      <c r="AA77" s="84">
        <v>3</v>
      </c>
      <c r="AB77" s="84">
        <v>3</v>
      </c>
      <c r="AC77" s="84">
        <v>3</v>
      </c>
      <c r="AD77" s="84">
        <v>3</v>
      </c>
      <c r="AE77" s="84">
        <v>0</v>
      </c>
      <c r="AF77" s="84">
        <v>0</v>
      </c>
      <c r="AG77" s="82"/>
      <c r="AH77" s="52">
        <f t="shared" si="11"/>
        <v>3</v>
      </c>
      <c r="AI77" s="53">
        <f t="shared" si="12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/>
      <c r="C78" s="84"/>
      <c r="D78" s="84"/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1"/>
        <v>0</v>
      </c>
      <c r="AI78" s="53">
        <f t="shared" si="12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/>
      <c r="C79" s="84"/>
      <c r="D79" s="84"/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10</v>
      </c>
      <c r="AA79" s="84">
        <v>10</v>
      </c>
      <c r="AB79" s="84">
        <v>10</v>
      </c>
      <c r="AC79" s="84">
        <v>10</v>
      </c>
      <c r="AD79" s="84">
        <v>10</v>
      </c>
      <c r="AE79" s="84">
        <v>10</v>
      </c>
      <c r="AF79" s="84">
        <v>10</v>
      </c>
      <c r="AG79" s="82"/>
      <c r="AH79" s="52">
        <f t="shared" si="11"/>
        <v>10</v>
      </c>
      <c r="AI79" s="53">
        <f t="shared" si="12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/>
      <c r="C80" s="84"/>
      <c r="D80" s="84"/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1"/>
        <v>0</v>
      </c>
      <c r="AI80" s="53">
        <f t="shared" si="12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/>
      <c r="C81" s="84"/>
      <c r="D81" s="84"/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1"/>
        <v>0</v>
      </c>
      <c r="AI81" s="53">
        <f t="shared" si="12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:AF82" si="13">SUMIF(B71:B81,"&gt;0")</f>
        <v>405</v>
      </c>
      <c r="C82" s="67">
        <f t="shared" si="13"/>
        <v>387</v>
      </c>
      <c r="D82" s="67">
        <f t="shared" si="13"/>
        <v>389.7</v>
      </c>
      <c r="E82" s="67">
        <f t="shared" si="13"/>
        <v>440.5</v>
      </c>
      <c r="F82" s="67">
        <f t="shared" si="13"/>
        <v>424</v>
      </c>
      <c r="G82" s="67">
        <f t="shared" si="13"/>
        <v>478.4</v>
      </c>
      <c r="H82" s="67">
        <f t="shared" si="13"/>
        <v>477.7</v>
      </c>
      <c r="I82" s="67">
        <f t="shared" si="13"/>
        <v>469.8</v>
      </c>
      <c r="J82" s="67">
        <f t="shared" si="13"/>
        <v>526.29999999999995</v>
      </c>
      <c r="K82" s="67">
        <f t="shared" si="13"/>
        <v>500.90000000000003</v>
      </c>
      <c r="L82" s="67">
        <f t="shared" si="13"/>
        <v>531.70000000000005</v>
      </c>
      <c r="M82" s="67">
        <f t="shared" si="13"/>
        <v>523</v>
      </c>
      <c r="N82" s="67">
        <f t="shared" si="13"/>
        <v>524.9</v>
      </c>
      <c r="O82" s="67">
        <f t="shared" si="13"/>
        <v>562.70000000000005</v>
      </c>
      <c r="P82" s="67">
        <f t="shared" si="13"/>
        <v>581.49999999999989</v>
      </c>
      <c r="Q82" s="67">
        <f t="shared" si="13"/>
        <v>577.9</v>
      </c>
      <c r="R82" s="67">
        <f t="shared" si="13"/>
        <v>585.4</v>
      </c>
      <c r="S82" s="67">
        <f t="shared" si="13"/>
        <v>580.70000000000005</v>
      </c>
      <c r="T82" s="67">
        <f t="shared" si="13"/>
        <v>595.20000000000005</v>
      </c>
      <c r="U82" s="67">
        <f t="shared" si="13"/>
        <v>566.70000000000005</v>
      </c>
      <c r="V82" s="67">
        <f t="shared" si="13"/>
        <v>568</v>
      </c>
      <c r="W82" s="67">
        <f t="shared" si="13"/>
        <v>569.20000000000005</v>
      </c>
      <c r="X82" s="67">
        <f t="shared" si="13"/>
        <v>563.69999999999993</v>
      </c>
      <c r="Y82" s="67">
        <f t="shared" si="13"/>
        <v>505.29999999999995</v>
      </c>
      <c r="Z82" s="67">
        <f t="shared" si="13"/>
        <v>515.79999999999995</v>
      </c>
      <c r="AA82" s="67">
        <v>475</v>
      </c>
      <c r="AB82" s="67">
        <f t="shared" si="13"/>
        <v>444.2</v>
      </c>
      <c r="AC82" s="67">
        <f t="shared" si="13"/>
        <v>476</v>
      </c>
      <c r="AD82" s="67">
        <f t="shared" si="13"/>
        <v>473.3</v>
      </c>
      <c r="AE82" s="67">
        <f t="shared" si="13"/>
        <v>496.4</v>
      </c>
      <c r="AF82" s="67">
        <f t="shared" si="13"/>
        <v>535.1</v>
      </c>
      <c r="AG82" s="95">
        <f>SUM(AG71:AG81)</f>
        <v>0</v>
      </c>
      <c r="AH82" s="52">
        <f t="shared" si="11"/>
        <v>595.20000000000005</v>
      </c>
      <c r="AI82" s="53">
        <f t="shared" si="12"/>
        <v>387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1"/>
        <v>0</v>
      </c>
      <c r="AI83" s="53">
        <f t="shared" si="12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1"/>
        <v>0</v>
      </c>
      <c r="AI84" s="53">
        <f t="shared" si="12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1"/>
        <v>0</v>
      </c>
      <c r="AI85" s="53">
        <f t="shared" si="12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>
        <v>0</v>
      </c>
      <c r="AB86" s="67"/>
      <c r="AC86" s="67"/>
      <c r="AD86" s="67"/>
      <c r="AE86" s="67"/>
      <c r="AF86" s="67"/>
      <c r="AG86" s="95">
        <f>SUM(AG83:AG85)</f>
        <v>55.4</v>
      </c>
      <c r="AH86" s="52">
        <f t="shared" si="11"/>
        <v>0</v>
      </c>
      <c r="AI86" s="53">
        <f t="shared" si="12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:AG87" si="14">B48+B52+B70+B66+B82+B86</f>
        <v>1177.1399999999999</v>
      </c>
      <c r="C87" s="102">
        <f t="shared" si="14"/>
        <v>1193.44</v>
      </c>
      <c r="D87" s="102">
        <f t="shared" si="14"/>
        <v>1181.1400000000001</v>
      </c>
      <c r="E87" s="102">
        <f t="shared" si="14"/>
        <v>1201.239</v>
      </c>
      <c r="F87" s="102">
        <f t="shared" si="14"/>
        <v>1136.24</v>
      </c>
      <c r="G87" s="102">
        <f t="shared" si="14"/>
        <v>1193.8400000000001</v>
      </c>
      <c r="H87" s="102">
        <f t="shared" si="14"/>
        <v>1193.1400000000001</v>
      </c>
      <c r="I87" s="102">
        <f t="shared" si="14"/>
        <v>1277.74</v>
      </c>
      <c r="J87" s="102">
        <f t="shared" si="14"/>
        <v>1400.94</v>
      </c>
      <c r="K87" s="102">
        <f t="shared" si="14"/>
        <v>1372.54</v>
      </c>
      <c r="L87" s="102">
        <f t="shared" si="14"/>
        <v>1334.84</v>
      </c>
      <c r="M87" s="102">
        <f t="shared" si="14"/>
        <v>1317.6399999999999</v>
      </c>
      <c r="N87" s="102">
        <f t="shared" si="14"/>
        <v>1272.6399999999999</v>
      </c>
      <c r="O87" s="102">
        <f t="shared" si="14"/>
        <v>1256.1399999999999</v>
      </c>
      <c r="P87" s="102">
        <f t="shared" si="14"/>
        <v>1323.3399999999997</v>
      </c>
      <c r="Q87" s="102">
        <f t="shared" si="14"/>
        <v>1404.24</v>
      </c>
      <c r="R87" s="102">
        <f t="shared" si="14"/>
        <v>1391.44</v>
      </c>
      <c r="S87" s="102">
        <f t="shared" si="14"/>
        <v>1466.54</v>
      </c>
      <c r="T87" s="102">
        <f t="shared" si="14"/>
        <v>1453.14</v>
      </c>
      <c r="U87" s="102">
        <f t="shared" si="14"/>
        <v>1373.3400000000001</v>
      </c>
      <c r="V87" s="102">
        <f t="shared" si="14"/>
        <v>1335.74</v>
      </c>
      <c r="W87" s="102">
        <f t="shared" si="14"/>
        <v>1337.44</v>
      </c>
      <c r="X87" s="102">
        <f t="shared" si="14"/>
        <v>1268.7399999999998</v>
      </c>
      <c r="Y87" s="102">
        <f t="shared" si="14"/>
        <v>1209.1399999999999</v>
      </c>
      <c r="Z87" s="102">
        <f t="shared" si="14"/>
        <v>1336.74</v>
      </c>
      <c r="AA87" s="102">
        <v>1363.7399999999998</v>
      </c>
      <c r="AB87" s="102">
        <f t="shared" si="14"/>
        <v>1346.94</v>
      </c>
      <c r="AC87" s="102">
        <f t="shared" si="14"/>
        <v>1378.74</v>
      </c>
      <c r="AD87" s="102">
        <f t="shared" si="14"/>
        <v>1247.3399999999999</v>
      </c>
      <c r="AE87" s="102">
        <f t="shared" si="14"/>
        <v>1124.04</v>
      </c>
      <c r="AF87" s="102">
        <f t="shared" si="14"/>
        <v>1132.1400000000001</v>
      </c>
      <c r="AG87" s="68">
        <f t="shared" si="14"/>
        <v>2065.09</v>
      </c>
      <c r="AH87" s="52">
        <f>MAX(B87:AF87)</f>
        <v>1466.54</v>
      </c>
      <c r="AI87" s="53">
        <f>MIN(B87:AF87)</f>
        <v>1124.04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>
        <v>50</v>
      </c>
      <c r="L88" s="104">
        <v>150</v>
      </c>
      <c r="M88" s="104">
        <v>150</v>
      </c>
      <c r="N88" s="104">
        <v>175</v>
      </c>
      <c r="O88" s="104">
        <v>175</v>
      </c>
      <c r="P88" s="104">
        <v>100</v>
      </c>
      <c r="Q88" s="104"/>
      <c r="R88" s="104"/>
      <c r="S88" s="104"/>
      <c r="T88" s="104"/>
      <c r="U88" s="104"/>
      <c r="V88" s="104"/>
      <c r="W88" s="104"/>
      <c r="X88" s="104"/>
      <c r="Y88" s="104">
        <v>150</v>
      </c>
      <c r="Z88" s="104">
        <v>150</v>
      </c>
      <c r="AA88" s="104">
        <v>60</v>
      </c>
      <c r="AB88" s="104"/>
      <c r="AC88" s="104"/>
      <c r="AD88" s="104"/>
      <c r="AE88" s="104"/>
      <c r="AF88" s="104"/>
      <c r="AG88" s="95"/>
      <c r="AH88" s="52">
        <f t="shared" si="11"/>
        <v>175</v>
      </c>
      <c r="AI88" s="53">
        <f t="shared" si="12"/>
        <v>50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:AF89" si="15">B87+B88</f>
        <v>1177.1399999999999</v>
      </c>
      <c r="C89" s="102">
        <f t="shared" si="15"/>
        <v>1193.44</v>
      </c>
      <c r="D89" s="102">
        <f t="shared" si="15"/>
        <v>1181.1400000000001</v>
      </c>
      <c r="E89" s="102">
        <f t="shared" si="15"/>
        <v>1201.239</v>
      </c>
      <c r="F89" s="102">
        <f t="shared" si="15"/>
        <v>1136.24</v>
      </c>
      <c r="G89" s="102">
        <f t="shared" si="15"/>
        <v>1193.8400000000001</v>
      </c>
      <c r="H89" s="102">
        <f t="shared" si="15"/>
        <v>1193.1400000000001</v>
      </c>
      <c r="I89" s="102">
        <f t="shared" si="15"/>
        <v>1277.74</v>
      </c>
      <c r="J89" s="102">
        <f t="shared" si="15"/>
        <v>1400.94</v>
      </c>
      <c r="K89" s="102">
        <f t="shared" si="15"/>
        <v>1422.54</v>
      </c>
      <c r="L89" s="102">
        <f t="shared" si="15"/>
        <v>1484.84</v>
      </c>
      <c r="M89" s="102">
        <f t="shared" si="15"/>
        <v>1467.6399999999999</v>
      </c>
      <c r="N89" s="102">
        <f t="shared" si="15"/>
        <v>1447.6399999999999</v>
      </c>
      <c r="O89" s="102">
        <f t="shared" si="15"/>
        <v>1431.1399999999999</v>
      </c>
      <c r="P89" s="102">
        <f t="shared" si="15"/>
        <v>1423.3399999999997</v>
      </c>
      <c r="Q89" s="102">
        <f t="shared" si="15"/>
        <v>1404.24</v>
      </c>
      <c r="R89" s="102">
        <f t="shared" si="15"/>
        <v>1391.44</v>
      </c>
      <c r="S89" s="102">
        <f t="shared" si="15"/>
        <v>1466.54</v>
      </c>
      <c r="T89" s="102">
        <f t="shared" si="15"/>
        <v>1453.14</v>
      </c>
      <c r="U89" s="102">
        <f t="shared" si="15"/>
        <v>1373.3400000000001</v>
      </c>
      <c r="V89" s="102">
        <f t="shared" si="15"/>
        <v>1335.74</v>
      </c>
      <c r="W89" s="102">
        <f t="shared" si="15"/>
        <v>1337.44</v>
      </c>
      <c r="X89" s="102">
        <f t="shared" si="15"/>
        <v>1268.7399999999998</v>
      </c>
      <c r="Y89" s="102">
        <f t="shared" si="15"/>
        <v>1359.1399999999999</v>
      </c>
      <c r="Z89" s="102">
        <f t="shared" si="15"/>
        <v>1486.74</v>
      </c>
      <c r="AA89" s="102">
        <v>1443.7399999999998</v>
      </c>
      <c r="AB89" s="102">
        <f t="shared" si="15"/>
        <v>1346.94</v>
      </c>
      <c r="AC89" s="102">
        <f t="shared" si="15"/>
        <v>1378.74</v>
      </c>
      <c r="AD89" s="102">
        <f t="shared" si="15"/>
        <v>1247.3399999999999</v>
      </c>
      <c r="AE89" s="102">
        <f t="shared" si="15"/>
        <v>1124.04</v>
      </c>
      <c r="AF89" s="102">
        <f t="shared" si="15"/>
        <v>1132.1400000000001</v>
      </c>
      <c r="AG89" s="95">
        <f>AG86+AG82+AG70+AG66+AG48+AG88</f>
        <v>1526.99</v>
      </c>
      <c r="AH89" s="52">
        <f t="shared" si="11"/>
        <v>1486.74</v>
      </c>
      <c r="AI89" s="53">
        <f t="shared" si="12"/>
        <v>1124.04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:AF90" si="16">B89-B97</f>
        <v>1177.1399999999999</v>
      </c>
      <c r="C90" s="102">
        <f t="shared" si="16"/>
        <v>1193.44</v>
      </c>
      <c r="D90" s="102">
        <f t="shared" si="16"/>
        <v>1181.1400000000001</v>
      </c>
      <c r="E90" s="102">
        <f t="shared" si="16"/>
        <v>1201.239</v>
      </c>
      <c r="F90" s="102">
        <f t="shared" si="16"/>
        <v>1136.24</v>
      </c>
      <c r="G90" s="102">
        <f t="shared" si="16"/>
        <v>1193.8400000000001</v>
      </c>
      <c r="H90" s="102">
        <f t="shared" si="16"/>
        <v>1193.1400000000001</v>
      </c>
      <c r="I90" s="102">
        <f t="shared" si="16"/>
        <v>1277.74</v>
      </c>
      <c r="J90" s="102">
        <f t="shared" si="16"/>
        <v>1400.94</v>
      </c>
      <c r="K90" s="102">
        <f t="shared" si="16"/>
        <v>1422.54</v>
      </c>
      <c r="L90" s="102">
        <f t="shared" si="16"/>
        <v>1484.84</v>
      </c>
      <c r="M90" s="102">
        <f t="shared" si="16"/>
        <v>1467.6399999999999</v>
      </c>
      <c r="N90" s="102">
        <f t="shared" si="16"/>
        <v>1447.6399999999999</v>
      </c>
      <c r="O90" s="102">
        <f t="shared" si="16"/>
        <v>1431.1399999999999</v>
      </c>
      <c r="P90" s="102">
        <f t="shared" si="16"/>
        <v>1423.3399999999997</v>
      </c>
      <c r="Q90" s="102">
        <f t="shared" si="16"/>
        <v>1404.24</v>
      </c>
      <c r="R90" s="102">
        <f t="shared" si="16"/>
        <v>1391.44</v>
      </c>
      <c r="S90" s="102">
        <f t="shared" si="16"/>
        <v>1466.54</v>
      </c>
      <c r="T90" s="102">
        <f t="shared" si="16"/>
        <v>1453.14</v>
      </c>
      <c r="U90" s="102">
        <f t="shared" si="16"/>
        <v>1373.3400000000001</v>
      </c>
      <c r="V90" s="102">
        <f t="shared" si="16"/>
        <v>1335.74</v>
      </c>
      <c r="W90" s="102">
        <f t="shared" si="16"/>
        <v>1337.44</v>
      </c>
      <c r="X90" s="102">
        <f t="shared" si="16"/>
        <v>1268.7399999999998</v>
      </c>
      <c r="Y90" s="102">
        <f t="shared" si="16"/>
        <v>1359.1399999999999</v>
      </c>
      <c r="Z90" s="102">
        <f t="shared" si="16"/>
        <v>1486.74</v>
      </c>
      <c r="AA90" s="102">
        <v>1443.7399999999998</v>
      </c>
      <c r="AB90" s="102">
        <f t="shared" si="16"/>
        <v>1346.94</v>
      </c>
      <c r="AC90" s="102">
        <f t="shared" si="16"/>
        <v>1378.74</v>
      </c>
      <c r="AD90" s="102">
        <f t="shared" si="16"/>
        <v>1247.3399999999999</v>
      </c>
      <c r="AE90" s="102">
        <f t="shared" si="16"/>
        <v>1124.04</v>
      </c>
      <c r="AF90" s="102">
        <f t="shared" si="16"/>
        <v>1132.1400000000001</v>
      </c>
      <c r="AG90" s="95"/>
      <c r="AH90" s="52">
        <f t="shared" si="11"/>
        <v>1486.74</v>
      </c>
      <c r="AI90" s="53">
        <f t="shared" si="12"/>
        <v>1124.04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1"/>
        <v>0</v>
      </c>
      <c r="AI91" s="53">
        <f t="shared" si="12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1"/>
        <v>0</v>
      </c>
      <c r="AI92" s="53">
        <f t="shared" si="12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1"/>
        <v>0</v>
      </c>
      <c r="AI93" s="53">
        <f t="shared" si="12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1"/>
        <v>0</v>
      </c>
      <c r="AI94" s="53">
        <f t="shared" si="12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1"/>
        <v>0</v>
      </c>
      <c r="AI95" s="53">
        <f t="shared" si="12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1"/>
        <v>0</v>
      </c>
      <c r="AI96" s="53">
        <f t="shared" si="12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>
        <v>0</v>
      </c>
      <c r="AB97" s="67"/>
      <c r="AC97" s="67"/>
      <c r="AD97" s="67"/>
      <c r="AE97" s="67"/>
      <c r="AF97" s="67"/>
      <c r="AG97" s="95"/>
      <c r="AH97" s="52">
        <f t="shared" si="11"/>
        <v>0</v>
      </c>
      <c r="AI97" s="53">
        <f t="shared" si="12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:AF98" si="17">B82-B97</f>
        <v>405</v>
      </c>
      <c r="C98" s="67">
        <f t="shared" si="17"/>
        <v>387</v>
      </c>
      <c r="D98" s="67">
        <f t="shared" si="17"/>
        <v>389.7</v>
      </c>
      <c r="E98" s="67">
        <f t="shared" si="17"/>
        <v>440.5</v>
      </c>
      <c r="F98" s="67">
        <f t="shared" si="17"/>
        <v>424</v>
      </c>
      <c r="G98" s="67">
        <f t="shared" si="17"/>
        <v>478.4</v>
      </c>
      <c r="H98" s="67">
        <f t="shared" si="17"/>
        <v>477.7</v>
      </c>
      <c r="I98" s="67">
        <f t="shared" si="17"/>
        <v>469.8</v>
      </c>
      <c r="J98" s="67">
        <f t="shared" si="17"/>
        <v>526.29999999999995</v>
      </c>
      <c r="K98" s="67">
        <f t="shared" si="17"/>
        <v>500.90000000000003</v>
      </c>
      <c r="L98" s="67">
        <f t="shared" si="17"/>
        <v>531.70000000000005</v>
      </c>
      <c r="M98" s="67">
        <f t="shared" si="17"/>
        <v>523</v>
      </c>
      <c r="N98" s="67">
        <f t="shared" si="17"/>
        <v>524.9</v>
      </c>
      <c r="O98" s="67">
        <f t="shared" si="17"/>
        <v>562.70000000000005</v>
      </c>
      <c r="P98" s="67">
        <f t="shared" si="17"/>
        <v>581.49999999999989</v>
      </c>
      <c r="Q98" s="67">
        <f t="shared" si="17"/>
        <v>577.9</v>
      </c>
      <c r="R98" s="67">
        <f t="shared" si="17"/>
        <v>585.4</v>
      </c>
      <c r="S98" s="67">
        <f t="shared" si="17"/>
        <v>580.70000000000005</v>
      </c>
      <c r="T98" s="67">
        <f t="shared" si="17"/>
        <v>595.20000000000005</v>
      </c>
      <c r="U98" s="67">
        <f t="shared" si="17"/>
        <v>566.70000000000005</v>
      </c>
      <c r="V98" s="67">
        <f t="shared" si="17"/>
        <v>568</v>
      </c>
      <c r="W98" s="67">
        <f t="shared" si="17"/>
        <v>569.20000000000005</v>
      </c>
      <c r="X98" s="67">
        <f t="shared" si="17"/>
        <v>563.69999999999993</v>
      </c>
      <c r="Y98" s="67">
        <f t="shared" si="17"/>
        <v>505.29999999999995</v>
      </c>
      <c r="Z98" s="67">
        <f t="shared" si="17"/>
        <v>515.79999999999995</v>
      </c>
      <c r="AA98" s="67">
        <v>475</v>
      </c>
      <c r="AB98" s="67">
        <f t="shared" si="17"/>
        <v>444.2</v>
      </c>
      <c r="AC98" s="67">
        <f t="shared" si="17"/>
        <v>476</v>
      </c>
      <c r="AD98" s="67">
        <f t="shared" si="17"/>
        <v>473.3</v>
      </c>
      <c r="AE98" s="67">
        <f t="shared" si="17"/>
        <v>496.4</v>
      </c>
      <c r="AF98" s="67">
        <f t="shared" si="17"/>
        <v>535.1</v>
      </c>
      <c r="AG98" s="95"/>
      <c r="AH98" s="52">
        <f t="shared" si="11"/>
        <v>595.20000000000005</v>
      </c>
      <c r="AI98" s="53">
        <f t="shared" si="12"/>
        <v>387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49.96</v>
      </c>
      <c r="C99" s="108">
        <v>50.014000000000003</v>
      </c>
      <c r="D99" s="108">
        <v>49.95</v>
      </c>
      <c r="E99" s="108">
        <v>49.981999999999999</v>
      </c>
      <c r="F99" s="108">
        <v>50.008000000000003</v>
      </c>
      <c r="G99" s="108">
        <v>49.860999999999997</v>
      </c>
      <c r="H99" s="108">
        <v>49.94</v>
      </c>
      <c r="I99" s="108">
        <v>49.738</v>
      </c>
      <c r="J99" s="108">
        <v>50.003</v>
      </c>
      <c r="K99" s="108">
        <v>49.984999999999999</v>
      </c>
      <c r="L99" s="108">
        <v>50.109000000000002</v>
      </c>
      <c r="M99" s="108">
        <v>50.091999999999999</v>
      </c>
      <c r="N99" s="108">
        <v>49.981999999999999</v>
      </c>
      <c r="O99" s="108">
        <v>49.981999999999999</v>
      </c>
      <c r="P99" s="108">
        <v>50.008000000000003</v>
      </c>
      <c r="Q99" s="108">
        <v>49.99</v>
      </c>
      <c r="R99" s="108">
        <v>49.878999999999998</v>
      </c>
      <c r="S99" s="108">
        <v>49.92</v>
      </c>
      <c r="T99" s="108">
        <v>50.03</v>
      </c>
      <c r="U99" s="108">
        <v>50.11</v>
      </c>
      <c r="V99" s="108">
        <v>49.96</v>
      </c>
      <c r="W99" s="108">
        <v>49.93</v>
      </c>
      <c r="X99" s="108">
        <v>50.06</v>
      </c>
      <c r="Y99" s="108">
        <v>50.05</v>
      </c>
      <c r="Z99" s="108">
        <v>49.97</v>
      </c>
      <c r="AA99" s="108">
        <v>49.95</v>
      </c>
      <c r="AB99" s="108">
        <v>49.948999999999998</v>
      </c>
      <c r="AC99" s="108">
        <v>49.948999999999998</v>
      </c>
      <c r="AD99" s="108">
        <v>49.889000000000003</v>
      </c>
      <c r="AE99" s="108">
        <v>50.006999999999998</v>
      </c>
      <c r="AF99" s="108">
        <v>49.92</v>
      </c>
      <c r="AG99" s="109"/>
      <c r="AH99" s="52">
        <f t="shared" si="11"/>
        <v>50.11</v>
      </c>
      <c r="AI99" s="53">
        <f t="shared" si="12"/>
        <v>49.738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127</v>
      </c>
      <c r="C100" s="72">
        <v>126.3</v>
      </c>
      <c r="D100" s="72">
        <v>126.7</v>
      </c>
      <c r="E100" s="72">
        <v>127.9</v>
      </c>
      <c r="F100" s="72">
        <v>128.4</v>
      </c>
      <c r="G100" s="72">
        <v>127</v>
      </c>
      <c r="H100" s="72">
        <v>126.6</v>
      </c>
      <c r="I100" s="72">
        <v>125.9</v>
      </c>
      <c r="J100" s="72">
        <v>123.8</v>
      </c>
      <c r="K100" s="72">
        <v>125.1</v>
      </c>
      <c r="L100" s="72">
        <v>124.6</v>
      </c>
      <c r="M100" s="72">
        <v>125.4</v>
      </c>
      <c r="N100" s="72">
        <v>125.6</v>
      </c>
      <c r="O100" s="72">
        <v>124.8</v>
      </c>
      <c r="P100" s="72">
        <v>121.7</v>
      </c>
      <c r="Q100" s="72">
        <v>122.3</v>
      </c>
      <c r="R100" s="72">
        <v>124.4</v>
      </c>
      <c r="S100" s="72">
        <v>124.9</v>
      </c>
      <c r="T100" s="72">
        <v>125.4</v>
      </c>
      <c r="U100" s="72">
        <v>126.3</v>
      </c>
      <c r="V100" s="72">
        <v>127</v>
      </c>
      <c r="W100" s="72">
        <v>127.8</v>
      </c>
      <c r="X100" s="72">
        <v>129.4</v>
      </c>
      <c r="Y100" s="72">
        <v>129.19999999999999</v>
      </c>
      <c r="Z100" s="72">
        <v>128.69999999999999</v>
      </c>
      <c r="AA100" s="72">
        <v>123.4</v>
      </c>
      <c r="AB100" s="72">
        <v>125.2</v>
      </c>
      <c r="AC100" s="72">
        <v>125.2</v>
      </c>
      <c r="AD100" s="72">
        <v>126.7</v>
      </c>
      <c r="AE100" s="72">
        <v>127</v>
      </c>
      <c r="AF100" s="72">
        <v>124.7</v>
      </c>
      <c r="AG100" s="111"/>
      <c r="AH100" s="52">
        <f t="shared" si="11"/>
        <v>129.4</v>
      </c>
      <c r="AI100" s="53">
        <f t="shared" si="12"/>
        <v>121.7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132.4</v>
      </c>
      <c r="C101" s="72">
        <v>131.19999999999999</v>
      </c>
      <c r="D101" s="72">
        <v>131.30000000000001</v>
      </c>
      <c r="E101" s="72">
        <v>132.30000000000001</v>
      </c>
      <c r="F101" s="72">
        <v>132.4</v>
      </c>
      <c r="G101" s="72">
        <v>131.30000000000001</v>
      </c>
      <c r="H101" s="72">
        <v>130.19999999999999</v>
      </c>
      <c r="I101" s="72">
        <v>128.80000000000001</v>
      </c>
      <c r="J101" s="72">
        <v>127.4</v>
      </c>
      <c r="K101" s="72">
        <v>128</v>
      </c>
      <c r="L101" s="72">
        <v>127.2</v>
      </c>
      <c r="M101" s="72">
        <v>127.7</v>
      </c>
      <c r="N101" s="72">
        <v>128</v>
      </c>
      <c r="O101" s="72">
        <v>127.5</v>
      </c>
      <c r="P101" s="72">
        <v>125.6</v>
      </c>
      <c r="Q101" s="72">
        <v>126.6</v>
      </c>
      <c r="R101" s="72">
        <v>127.8</v>
      </c>
      <c r="S101" s="72">
        <v>128.30000000000001</v>
      </c>
      <c r="T101" s="72">
        <v>128.6</v>
      </c>
      <c r="U101" s="72">
        <v>129.4</v>
      </c>
      <c r="V101" s="72">
        <v>130</v>
      </c>
      <c r="W101" s="72">
        <v>130.6</v>
      </c>
      <c r="X101" s="72">
        <v>132.1</v>
      </c>
      <c r="Y101" s="72">
        <v>131.4</v>
      </c>
      <c r="Z101" s="72">
        <v>130.9</v>
      </c>
      <c r="AA101" s="72">
        <v>126.9</v>
      </c>
      <c r="AB101" s="72">
        <v>128.9</v>
      </c>
      <c r="AC101" s="72">
        <v>128.9</v>
      </c>
      <c r="AD101" s="72">
        <v>130.6</v>
      </c>
      <c r="AE101" s="72">
        <v>132</v>
      </c>
      <c r="AF101" s="72">
        <v>129.4</v>
      </c>
      <c r="AG101" s="111"/>
      <c r="AH101" s="52">
        <f t="shared" si="11"/>
        <v>132.4</v>
      </c>
      <c r="AI101" s="53">
        <f t="shared" si="12"/>
        <v>125.6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130.5</v>
      </c>
      <c r="C102" s="72">
        <v>131.1</v>
      </c>
      <c r="D102" s="72">
        <v>130.30000000000001</v>
      </c>
      <c r="E102" s="72">
        <v>132.69999999999999</v>
      </c>
      <c r="F102" s="72">
        <v>131.1</v>
      </c>
      <c r="G102" s="72">
        <v>128.30000000000001</v>
      </c>
      <c r="H102" s="72">
        <v>128</v>
      </c>
      <c r="I102" s="72">
        <v>130</v>
      </c>
      <c r="J102" s="72">
        <v>131.6</v>
      </c>
      <c r="K102" s="72">
        <v>127.1</v>
      </c>
      <c r="L102" s="72">
        <v>128.5</v>
      </c>
      <c r="M102" s="72">
        <v>128.80000000000001</v>
      </c>
      <c r="N102" s="72">
        <v>124.2</v>
      </c>
      <c r="O102" s="72">
        <v>125.6</v>
      </c>
      <c r="P102" s="72">
        <v>119.9</v>
      </c>
      <c r="Q102" s="72">
        <v>122.4</v>
      </c>
      <c r="R102" s="72">
        <v>126.5</v>
      </c>
      <c r="S102" s="72">
        <v>127.6</v>
      </c>
      <c r="T102" s="72">
        <v>127.9</v>
      </c>
      <c r="U102" s="72">
        <v>123.9</v>
      </c>
      <c r="V102" s="72">
        <v>129</v>
      </c>
      <c r="W102" s="72">
        <v>129.1</v>
      </c>
      <c r="X102" s="72">
        <v>129.5</v>
      </c>
      <c r="Y102" s="72">
        <v>126.9</v>
      </c>
      <c r="Z102" s="72">
        <v>129</v>
      </c>
      <c r="AA102" s="72">
        <v>123.3</v>
      </c>
      <c r="AB102" s="72">
        <v>125.4</v>
      </c>
      <c r="AC102" s="72">
        <v>125.4</v>
      </c>
      <c r="AD102" s="72">
        <v>128.9</v>
      </c>
      <c r="AE102" s="72">
        <v>128</v>
      </c>
      <c r="AF102" s="72">
        <v>127.5</v>
      </c>
      <c r="AG102" s="111"/>
      <c r="AH102" s="52">
        <f t="shared" si="11"/>
        <v>132.69999999999999</v>
      </c>
      <c r="AI102" s="53">
        <f t="shared" si="12"/>
        <v>119.9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1"/>
        <v>0</v>
      </c>
      <c r="AI103" s="53">
        <f t="shared" si="12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133</v>
      </c>
      <c r="C104" s="113">
        <v>132.30000000000001</v>
      </c>
      <c r="D104" s="113">
        <v>134.4</v>
      </c>
      <c r="E104" s="113">
        <v>133.9</v>
      </c>
      <c r="F104" s="113">
        <v>132.9</v>
      </c>
      <c r="G104" s="113">
        <v>134.30000000000001</v>
      </c>
      <c r="H104" s="113">
        <v>132.69999999999999</v>
      </c>
      <c r="I104" s="113">
        <v>132.1</v>
      </c>
      <c r="J104" s="113">
        <v>130.69999999999999</v>
      </c>
      <c r="K104" s="113">
        <v>133.6</v>
      </c>
      <c r="L104" s="113">
        <v>131.9</v>
      </c>
      <c r="M104" s="113">
        <v>132.5</v>
      </c>
      <c r="N104" s="113">
        <v>133.80000000000001</v>
      </c>
      <c r="O104" s="113">
        <v>135.1</v>
      </c>
      <c r="P104" s="113">
        <v>132.80000000000001</v>
      </c>
      <c r="Q104" s="113">
        <v>135.19999999999999</v>
      </c>
      <c r="R104" s="113">
        <v>133.1</v>
      </c>
      <c r="S104" s="113">
        <v>131.9</v>
      </c>
      <c r="T104" s="113">
        <v>135</v>
      </c>
      <c r="U104" s="113">
        <v>135.6</v>
      </c>
      <c r="V104" s="113">
        <v>135</v>
      </c>
      <c r="W104" s="113">
        <v>134.6</v>
      </c>
      <c r="X104" s="113">
        <v>135.30000000000001</v>
      </c>
      <c r="Y104" s="113">
        <v>133.69999999999999</v>
      </c>
      <c r="Z104" s="113">
        <v>133.80000000000001</v>
      </c>
      <c r="AA104" s="113">
        <v>131.19999999999999</v>
      </c>
      <c r="AB104" s="113">
        <v>133.80000000000001</v>
      </c>
      <c r="AC104" s="113">
        <v>133.80000000000001</v>
      </c>
      <c r="AD104" s="113">
        <v>131</v>
      </c>
      <c r="AE104" s="113">
        <v>132.69999999999999</v>
      </c>
      <c r="AF104" s="113">
        <v>129.5</v>
      </c>
      <c r="AG104" s="114"/>
      <c r="AH104" s="52">
        <f t="shared" si="11"/>
        <v>135.6</v>
      </c>
      <c r="AI104" s="53">
        <f t="shared" si="12"/>
        <v>129.5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128.19999999999999</v>
      </c>
      <c r="C105" s="72">
        <v>130</v>
      </c>
      <c r="D105" s="72">
        <v>132.9</v>
      </c>
      <c r="E105" s="72">
        <v>134.69999999999999</v>
      </c>
      <c r="F105" s="72">
        <v>131.4</v>
      </c>
      <c r="G105" s="72">
        <v>133.80000000000001</v>
      </c>
      <c r="H105" s="72">
        <v>130.80000000000001</v>
      </c>
      <c r="I105" s="72">
        <v>133.1</v>
      </c>
      <c r="J105" s="72">
        <v>126</v>
      </c>
      <c r="K105" s="72">
        <v>133.19999999999999</v>
      </c>
      <c r="L105" s="72">
        <v>131.1</v>
      </c>
      <c r="M105" s="72">
        <v>129.9</v>
      </c>
      <c r="N105" s="72">
        <v>134.4</v>
      </c>
      <c r="O105" s="72">
        <v>129.80000000000001</v>
      </c>
      <c r="P105" s="72">
        <v>123.6</v>
      </c>
      <c r="Q105" s="72">
        <v>127.7</v>
      </c>
      <c r="R105" s="72">
        <v>122.2</v>
      </c>
      <c r="S105" s="72">
        <v>133.30000000000001</v>
      </c>
      <c r="T105" s="72">
        <v>127.7</v>
      </c>
      <c r="U105" s="72">
        <v>133.19999999999999</v>
      </c>
      <c r="V105" s="72">
        <v>136</v>
      </c>
      <c r="W105" s="72">
        <v>135</v>
      </c>
      <c r="X105" s="72">
        <v>131.80000000000001</v>
      </c>
      <c r="Y105" s="72">
        <v>135.30000000000001</v>
      </c>
      <c r="Z105" s="72">
        <v>129.80000000000001</v>
      </c>
      <c r="AA105" s="72">
        <v>127</v>
      </c>
      <c r="AB105" s="72">
        <v>131.4</v>
      </c>
      <c r="AC105" s="72">
        <v>131.4</v>
      </c>
      <c r="AD105" s="72">
        <v>129.5</v>
      </c>
      <c r="AE105" s="72">
        <v>131</v>
      </c>
      <c r="AF105" s="72">
        <v>127.8</v>
      </c>
      <c r="AG105" s="111"/>
      <c r="AH105" s="52">
        <f t="shared" si="11"/>
        <v>136</v>
      </c>
      <c r="AI105" s="53">
        <f t="shared" si="12"/>
        <v>122.2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66.5</v>
      </c>
      <c r="C106" s="99">
        <v>66</v>
      </c>
      <c r="D106" s="99">
        <v>66</v>
      </c>
      <c r="E106" s="99">
        <v>66.599999999999994</v>
      </c>
      <c r="F106" s="99">
        <v>66.8</v>
      </c>
      <c r="G106" s="99">
        <v>66.2</v>
      </c>
      <c r="H106" s="99">
        <v>65.5</v>
      </c>
      <c r="I106" s="99">
        <v>64.5</v>
      </c>
      <c r="J106" s="99">
        <v>64.5</v>
      </c>
      <c r="K106" s="99">
        <v>64.5</v>
      </c>
      <c r="L106" s="99">
        <v>64</v>
      </c>
      <c r="M106" s="99">
        <v>64.5</v>
      </c>
      <c r="N106" s="99">
        <v>64.5</v>
      </c>
      <c r="O106" s="99">
        <v>63.9</v>
      </c>
      <c r="P106" s="99">
        <v>62.7</v>
      </c>
      <c r="Q106" s="99">
        <v>63.5</v>
      </c>
      <c r="R106" s="99">
        <v>64</v>
      </c>
      <c r="S106" s="99">
        <v>64.3</v>
      </c>
      <c r="T106" s="99">
        <v>64.400000000000006</v>
      </c>
      <c r="U106" s="99">
        <v>64.8</v>
      </c>
      <c r="V106" s="99">
        <v>65.400000000000006</v>
      </c>
      <c r="W106" s="99">
        <v>65.400000000000006</v>
      </c>
      <c r="X106" s="99">
        <v>66.099999999999994</v>
      </c>
      <c r="Y106" s="99">
        <v>65.8</v>
      </c>
      <c r="Z106" s="99">
        <v>65.400000000000006</v>
      </c>
      <c r="AA106" s="99">
        <v>63.6</v>
      </c>
      <c r="AB106" s="99">
        <v>64.7</v>
      </c>
      <c r="AC106" s="99">
        <v>64.7</v>
      </c>
      <c r="AD106" s="99">
        <v>65.599999999999994</v>
      </c>
      <c r="AE106" s="99">
        <v>65.7</v>
      </c>
      <c r="AF106" s="99">
        <v>64.8</v>
      </c>
      <c r="AG106" s="115"/>
      <c r="AH106" s="52">
        <f t="shared" si="11"/>
        <v>66.8</v>
      </c>
      <c r="AI106" s="53">
        <f t="shared" si="12"/>
        <v>62.7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/>
      <c r="AA107" s="99" t="s">
        <v>115</v>
      </c>
      <c r="AB107" s="99"/>
      <c r="AC107" s="99"/>
      <c r="AD107" s="99"/>
      <c r="AE107" s="99"/>
      <c r="AF107" s="99"/>
      <c r="AG107" s="115"/>
      <c r="AH107" s="52">
        <f t="shared" si="11"/>
        <v>0</v>
      </c>
      <c r="AI107" s="53">
        <f t="shared" si="12"/>
        <v>0</v>
      </c>
    </row>
    <row r="108" spans="1:88" ht="15.75" thickBot="1" x14ac:dyDescent="0.3">
      <c r="A108" s="117" t="s">
        <v>116</v>
      </c>
      <c r="B108" s="118">
        <f t="shared" ref="B108:AF108" si="18">SUM(B18,B24,B27:B28,B56,B58:B59,B61,B63,B109:B113,B135,B141,B147,B156,B158,B170,B177,B180:B181,B188,B190,B192,B196:B198,B200:B202,B207,B213:B214,B216:B218,B226,B231)</f>
        <v>116.1</v>
      </c>
      <c r="C108" s="118">
        <f t="shared" si="18"/>
        <v>104.14</v>
      </c>
      <c r="D108" s="118">
        <f t="shared" si="18"/>
        <v>95.740000000000009</v>
      </c>
      <c r="E108" s="118">
        <f t="shared" si="18"/>
        <v>96.63900000000001</v>
      </c>
      <c r="F108" s="118">
        <f t="shared" si="18"/>
        <v>102.53999999999999</v>
      </c>
      <c r="G108" s="118">
        <f t="shared" si="18"/>
        <v>133.13999999999999</v>
      </c>
      <c r="H108" s="118">
        <f t="shared" si="18"/>
        <v>172.04</v>
      </c>
      <c r="I108" s="118">
        <f t="shared" si="18"/>
        <v>215.33999999999997</v>
      </c>
      <c r="J108" s="118">
        <f t="shared" si="18"/>
        <v>251.54000000000002</v>
      </c>
      <c r="K108" s="118">
        <f t="shared" si="18"/>
        <v>258.74</v>
      </c>
      <c r="L108" s="118">
        <f t="shared" si="18"/>
        <v>281.23999999999995</v>
      </c>
      <c r="M108" s="118">
        <f t="shared" si="18"/>
        <v>294.33999999999997</v>
      </c>
      <c r="N108" s="118">
        <f t="shared" si="18"/>
        <v>273.04000000000002</v>
      </c>
      <c r="O108" s="118">
        <f t="shared" si="18"/>
        <v>267.54000000000002</v>
      </c>
      <c r="P108" s="118">
        <v>42</v>
      </c>
      <c r="Q108" s="118">
        <f t="shared" si="18"/>
        <v>247.70000000000005</v>
      </c>
      <c r="R108" s="118">
        <f t="shared" si="18"/>
        <v>230.9</v>
      </c>
      <c r="S108" s="118">
        <f t="shared" si="18"/>
        <v>225</v>
      </c>
      <c r="T108" s="118">
        <f t="shared" si="18"/>
        <v>232.79999999999998</v>
      </c>
      <c r="U108" s="118">
        <f t="shared" si="18"/>
        <v>254.34</v>
      </c>
      <c r="V108" s="118">
        <f t="shared" si="18"/>
        <v>292.8</v>
      </c>
      <c r="W108" s="118">
        <f t="shared" si="18"/>
        <v>271.5</v>
      </c>
      <c r="X108" s="118">
        <f t="shared" si="18"/>
        <v>275.8</v>
      </c>
      <c r="Y108" s="118">
        <f t="shared" si="18"/>
        <v>304.10000000000002</v>
      </c>
      <c r="Z108" s="118">
        <f t="shared" si="18"/>
        <v>309</v>
      </c>
      <c r="AA108" s="118">
        <v>380.49708333333331</v>
      </c>
      <c r="AB108" s="118">
        <f t="shared" si="18"/>
        <v>272.70000000000005</v>
      </c>
      <c r="AC108" s="118">
        <f t="shared" si="18"/>
        <v>272.70000000000005</v>
      </c>
      <c r="AD108" s="118">
        <f t="shared" si="18"/>
        <v>189.5</v>
      </c>
      <c r="AE108" s="118">
        <f t="shared" si="18"/>
        <v>128.70000000000002</v>
      </c>
      <c r="AF108" s="118">
        <f t="shared" si="18"/>
        <v>113.1</v>
      </c>
      <c r="AG108" s="119"/>
      <c r="AH108" s="52">
        <f t="shared" si="11"/>
        <v>380.49708333333331</v>
      </c>
      <c r="AI108" s="53">
        <f t="shared" si="12"/>
        <v>42</v>
      </c>
    </row>
    <row r="109" spans="1:88" x14ac:dyDescent="0.25">
      <c r="A109" s="107" t="s">
        <v>117</v>
      </c>
      <c r="B109" s="120">
        <v>-3.4</v>
      </c>
      <c r="C109" s="120">
        <v>3.3</v>
      </c>
      <c r="D109" s="120">
        <v>0</v>
      </c>
      <c r="E109" s="120">
        <v>2.4</v>
      </c>
      <c r="F109" s="120">
        <v>-4.8</v>
      </c>
      <c r="G109" s="120">
        <v>-7.8</v>
      </c>
      <c r="H109" s="120">
        <v>2</v>
      </c>
      <c r="I109" s="120">
        <v>9.1999999999999993</v>
      </c>
      <c r="J109" s="120">
        <v>24.2</v>
      </c>
      <c r="K109" s="120">
        <v>22.5</v>
      </c>
      <c r="L109" s="120">
        <v>18.899999999999999</v>
      </c>
      <c r="M109" s="120">
        <v>22.2</v>
      </c>
      <c r="N109" s="120">
        <v>17.5</v>
      </c>
      <c r="O109" s="120">
        <v>18.2</v>
      </c>
      <c r="P109" s="120">
        <v>16.5</v>
      </c>
      <c r="Q109" s="120">
        <v>23.9</v>
      </c>
      <c r="R109" s="120">
        <v>18.899999999999999</v>
      </c>
      <c r="S109" s="120">
        <v>20.2</v>
      </c>
      <c r="T109" s="120">
        <v>27.3</v>
      </c>
      <c r="U109" s="120">
        <v>32.799999999999997</v>
      </c>
      <c r="V109" s="120">
        <v>47</v>
      </c>
      <c r="W109" s="120">
        <v>31.8</v>
      </c>
      <c r="X109" s="120">
        <v>23.9</v>
      </c>
      <c r="Y109" s="120">
        <v>29.6</v>
      </c>
      <c r="Z109" s="120">
        <v>34.1</v>
      </c>
      <c r="AA109" s="120">
        <v>43.6</v>
      </c>
      <c r="AB109" s="120">
        <v>42.9</v>
      </c>
      <c r="AC109" s="120">
        <v>42.9</v>
      </c>
      <c r="AD109" s="120">
        <v>19.8</v>
      </c>
      <c r="AE109" s="120">
        <v>12.7</v>
      </c>
      <c r="AF109" s="120">
        <v>3.1</v>
      </c>
      <c r="AG109" s="121">
        <v>75</v>
      </c>
      <c r="AH109" s="52">
        <f t="shared" si="11"/>
        <v>47</v>
      </c>
      <c r="AI109" s="53">
        <f t="shared" si="12"/>
        <v>-7.8</v>
      </c>
    </row>
    <row r="110" spans="1:88" x14ac:dyDescent="0.25">
      <c r="A110" s="110" t="s">
        <v>118</v>
      </c>
      <c r="B110" s="122">
        <v>1.7</v>
      </c>
      <c r="C110" s="122">
        <v>9.1999999999999993</v>
      </c>
      <c r="D110" s="122">
        <v>4.2</v>
      </c>
      <c r="E110" s="122">
        <v>8.4</v>
      </c>
      <c r="F110" s="122">
        <v>-3.4</v>
      </c>
      <c r="G110" s="122">
        <v>-8</v>
      </c>
      <c r="H110" s="122">
        <v>5.6</v>
      </c>
      <c r="I110" s="122">
        <v>13.9</v>
      </c>
      <c r="J110" s="122">
        <v>35.299999999999997</v>
      </c>
      <c r="K110" s="122">
        <v>27.7</v>
      </c>
      <c r="L110" s="122">
        <v>22.6</v>
      </c>
      <c r="M110" s="122">
        <v>27.2</v>
      </c>
      <c r="N110" s="122">
        <v>22.3</v>
      </c>
      <c r="O110" s="122">
        <v>22.9</v>
      </c>
      <c r="P110" s="122">
        <v>22</v>
      </c>
      <c r="Q110" s="122">
        <v>33.200000000000003</v>
      </c>
      <c r="R110" s="122">
        <v>26.8</v>
      </c>
      <c r="S110" s="122">
        <v>29.9</v>
      </c>
      <c r="T110" s="122">
        <v>37.4</v>
      </c>
      <c r="U110" s="122">
        <v>42.9</v>
      </c>
      <c r="V110" s="122">
        <v>36</v>
      </c>
      <c r="W110" s="122">
        <v>39.5</v>
      </c>
      <c r="X110" s="122">
        <v>27.3</v>
      </c>
      <c r="Y110" s="122">
        <v>36.5</v>
      </c>
      <c r="Z110" s="122">
        <v>47.8</v>
      </c>
      <c r="AA110" s="122">
        <v>55.1</v>
      </c>
      <c r="AB110" s="122">
        <v>57.4</v>
      </c>
      <c r="AC110" s="122">
        <v>57.4</v>
      </c>
      <c r="AD110" s="122">
        <v>26.4</v>
      </c>
      <c r="AE110" s="122">
        <v>17.7</v>
      </c>
      <c r="AF110" s="122">
        <v>9</v>
      </c>
      <c r="AG110" s="121">
        <v>240</v>
      </c>
      <c r="AH110" s="52">
        <f t="shared" si="11"/>
        <v>57.4</v>
      </c>
      <c r="AI110" s="53">
        <f t="shared" si="12"/>
        <v>-8</v>
      </c>
    </row>
    <row r="111" spans="1:88" x14ac:dyDescent="0.25">
      <c r="A111" s="110" t="s">
        <v>119</v>
      </c>
      <c r="B111" s="122">
        <v>-52</v>
      </c>
      <c r="C111" s="122">
        <v>-69</v>
      </c>
      <c r="D111" s="122">
        <v>-71</v>
      </c>
      <c r="E111" s="122">
        <v>-70</v>
      </c>
      <c r="F111" s="122">
        <v>-58</v>
      </c>
      <c r="G111" s="122">
        <v>-39.4</v>
      </c>
      <c r="H111" s="122">
        <v>-32</v>
      </c>
      <c r="I111" s="122">
        <v>-15.2</v>
      </c>
      <c r="J111" s="122">
        <v>-19</v>
      </c>
      <c r="K111" s="122">
        <v>-4</v>
      </c>
      <c r="L111" s="122">
        <v>18</v>
      </c>
      <c r="M111" s="122">
        <v>21.5</v>
      </c>
      <c r="N111" s="122">
        <v>16</v>
      </c>
      <c r="O111" s="122">
        <v>9.8000000000000007</v>
      </c>
      <c r="P111" s="122">
        <v>-10.8</v>
      </c>
      <c r="Q111" s="122">
        <f>-15.5-18.7</f>
        <v>-34.200000000000003</v>
      </c>
      <c r="R111" s="122">
        <v>-41</v>
      </c>
      <c r="S111" s="122">
        <f>-31.5-16.2</f>
        <v>-47.7</v>
      </c>
      <c r="T111" s="122">
        <f>-29.6-14.2</f>
        <v>-43.8</v>
      </c>
      <c r="U111" s="122">
        <f>-23.4-8.1</f>
        <v>-31.5</v>
      </c>
      <c r="V111" s="122">
        <v>1</v>
      </c>
      <c r="W111" s="122">
        <f>-2.2+3.9</f>
        <v>1.6999999999999997</v>
      </c>
      <c r="X111" s="122">
        <f>6.1+12</f>
        <v>18.100000000000001</v>
      </c>
      <c r="Y111" s="122">
        <f>5.8+10.1</f>
        <v>15.899999999999999</v>
      </c>
      <c r="Z111" s="122">
        <f>2.7+9.4</f>
        <v>12.100000000000001</v>
      </c>
      <c r="AA111" s="122">
        <f>1.3+6.3</f>
        <v>7.6</v>
      </c>
      <c r="AB111" s="122">
        <v>-26</v>
      </c>
      <c r="AC111" s="122">
        <v>-26</v>
      </c>
      <c r="AD111" s="122">
        <v>-40</v>
      </c>
      <c r="AE111" s="122">
        <v>-57</v>
      </c>
      <c r="AF111" s="122">
        <v>-63</v>
      </c>
      <c r="AG111" s="121">
        <v>240</v>
      </c>
      <c r="AH111" s="52">
        <f t="shared" si="11"/>
        <v>21.5</v>
      </c>
      <c r="AI111" s="53">
        <f t="shared" si="12"/>
        <v>-71</v>
      </c>
    </row>
    <row r="112" spans="1:88" x14ac:dyDescent="0.25">
      <c r="A112" s="110" t="s">
        <v>120</v>
      </c>
      <c r="B112" s="122">
        <v>-1</v>
      </c>
      <c r="C112" s="122">
        <v>-6.5</v>
      </c>
      <c r="D112" s="122">
        <v>-7.5</v>
      </c>
      <c r="E112" s="122">
        <v>-7.9</v>
      </c>
      <c r="F112" s="122">
        <v>-2</v>
      </c>
      <c r="G112" s="122">
        <v>-0.2</v>
      </c>
      <c r="H112" s="122">
        <v>3</v>
      </c>
      <c r="I112" s="122">
        <v>6.6</v>
      </c>
      <c r="J112" s="122">
        <v>9.1</v>
      </c>
      <c r="K112" s="122">
        <v>9.8000000000000007</v>
      </c>
      <c r="L112" s="122">
        <v>12</v>
      </c>
      <c r="M112" s="122">
        <v>17</v>
      </c>
      <c r="N112" s="122">
        <v>13.9</v>
      </c>
      <c r="O112" s="122">
        <v>12.8</v>
      </c>
      <c r="P112" s="122">
        <v>8.6999999999999993</v>
      </c>
      <c r="Q112" s="122">
        <v>14.3</v>
      </c>
      <c r="R112" s="122">
        <v>18.8</v>
      </c>
      <c r="S112" s="122">
        <v>22.4</v>
      </c>
      <c r="T112" s="122">
        <v>24.5</v>
      </c>
      <c r="U112" s="122">
        <v>17.899999999999999</v>
      </c>
      <c r="V112" s="122">
        <v>25</v>
      </c>
      <c r="W112" s="122">
        <v>25.9</v>
      </c>
      <c r="X112" s="122">
        <v>25.9</v>
      </c>
      <c r="Y112" s="122">
        <v>39.6</v>
      </c>
      <c r="Z112" s="122">
        <v>31.7</v>
      </c>
      <c r="AA112" s="122">
        <v>18.8</v>
      </c>
      <c r="AB112" s="122">
        <v>14</v>
      </c>
      <c r="AC112" s="122">
        <v>14</v>
      </c>
      <c r="AD112" s="122">
        <v>11.1</v>
      </c>
      <c r="AE112" s="122">
        <v>-1.6</v>
      </c>
      <c r="AF112" s="122">
        <v>-2</v>
      </c>
      <c r="AG112" s="121">
        <v>60</v>
      </c>
      <c r="AH112" s="52">
        <f t="shared" si="11"/>
        <v>39.6</v>
      </c>
      <c r="AI112" s="53">
        <f t="shared" si="12"/>
        <v>-7.9</v>
      </c>
    </row>
    <row r="113" spans="1:37" x14ac:dyDescent="0.25">
      <c r="A113" s="123" t="s">
        <v>121</v>
      </c>
      <c r="B113" s="124">
        <v>89</v>
      </c>
      <c r="C113" s="124">
        <v>82.1</v>
      </c>
      <c r="D113" s="124">
        <v>85</v>
      </c>
      <c r="E113" s="124">
        <v>78</v>
      </c>
      <c r="F113" s="124">
        <v>85</v>
      </c>
      <c r="G113" s="124">
        <v>102.8</v>
      </c>
      <c r="H113" s="124">
        <v>107.7</v>
      </c>
      <c r="I113" s="124">
        <v>115.1</v>
      </c>
      <c r="J113" s="124">
        <v>116.2</v>
      </c>
      <c r="K113" s="124">
        <v>117</v>
      </c>
      <c r="L113" s="124">
        <v>127</v>
      </c>
      <c r="M113" s="124">
        <v>118</v>
      </c>
      <c r="N113" s="124">
        <v>113.6</v>
      </c>
      <c r="O113" s="124">
        <v>109.1</v>
      </c>
      <c r="P113" s="124">
        <v>117.1</v>
      </c>
      <c r="Q113" s="124">
        <v>109.2</v>
      </c>
      <c r="R113" s="124">
        <v>107.2</v>
      </c>
      <c r="S113" s="124">
        <v>100</v>
      </c>
      <c r="T113" s="124">
        <v>98.6</v>
      </c>
      <c r="U113" s="124">
        <v>103.44</v>
      </c>
      <c r="V113" s="124">
        <v>95</v>
      </c>
      <c r="W113" s="124">
        <v>93.3</v>
      </c>
      <c r="X113" s="124">
        <v>100.3</v>
      </c>
      <c r="Y113" s="124">
        <v>101.2</v>
      </c>
      <c r="Z113" s="124">
        <v>102</v>
      </c>
      <c r="AA113" s="124">
        <v>99.4</v>
      </c>
      <c r="AB113" s="124">
        <v>98.4</v>
      </c>
      <c r="AC113" s="124">
        <v>98.4</v>
      </c>
      <c r="AD113" s="124">
        <v>86.2</v>
      </c>
      <c r="AE113" s="124">
        <v>64.900000000000006</v>
      </c>
      <c r="AF113" s="124">
        <v>74</v>
      </c>
      <c r="AG113" s="125">
        <v>120</v>
      </c>
      <c r="AH113" s="52">
        <f t="shared" si="11"/>
        <v>127</v>
      </c>
      <c r="AI113" s="53">
        <f t="shared" si="12"/>
        <v>64.900000000000006</v>
      </c>
    </row>
    <row r="114" spans="1:37" x14ac:dyDescent="0.25">
      <c r="A114" s="123" t="s">
        <v>122</v>
      </c>
      <c r="B114" s="124">
        <v>94</v>
      </c>
      <c r="C114" s="124">
        <v>98</v>
      </c>
      <c r="D114" s="124">
        <v>103</v>
      </c>
      <c r="E114" s="124">
        <v>95</v>
      </c>
      <c r="F114" s="124">
        <v>96.5</v>
      </c>
      <c r="G114" s="124">
        <v>102.1</v>
      </c>
      <c r="H114" s="124">
        <v>103</v>
      </c>
      <c r="I114" s="124">
        <v>105</v>
      </c>
      <c r="J114" s="124">
        <v>105</v>
      </c>
      <c r="K114" s="124">
        <v>99.4</v>
      </c>
      <c r="L114" s="124">
        <v>98</v>
      </c>
      <c r="M114" s="124">
        <v>79.8</v>
      </c>
      <c r="N114" s="124">
        <v>79.8</v>
      </c>
      <c r="O114" s="124">
        <v>82.2</v>
      </c>
      <c r="P114" s="124">
        <v>105.5</v>
      </c>
      <c r="Q114" s="124">
        <v>107.2</v>
      </c>
      <c r="R114" s="124">
        <v>106.7</v>
      </c>
      <c r="S114" s="124">
        <v>99</v>
      </c>
      <c r="T114" s="124">
        <v>99.1</v>
      </c>
      <c r="U114" s="124">
        <v>99</v>
      </c>
      <c r="V114" s="124">
        <v>98</v>
      </c>
      <c r="W114" s="124">
        <v>93.6</v>
      </c>
      <c r="X114" s="124">
        <v>89.9</v>
      </c>
      <c r="Y114" s="124">
        <v>85</v>
      </c>
      <c r="Z114" s="124">
        <v>73.7</v>
      </c>
      <c r="AA114" s="124">
        <v>93.3</v>
      </c>
      <c r="AB114" s="124">
        <v>81.599999999999994</v>
      </c>
      <c r="AC114" s="124">
        <v>81.599999999999994</v>
      </c>
      <c r="AD114" s="124">
        <v>82.5</v>
      </c>
      <c r="AE114" s="124">
        <v>69.2</v>
      </c>
      <c r="AF114" s="124">
        <v>85</v>
      </c>
      <c r="AG114" s="125"/>
      <c r="AH114" s="52">
        <f t="shared" si="11"/>
        <v>107.2</v>
      </c>
      <c r="AI114" s="53">
        <f t="shared" si="12"/>
        <v>69.2</v>
      </c>
    </row>
    <row r="115" spans="1:37" x14ac:dyDescent="0.25">
      <c r="A115" s="123" t="s">
        <v>123</v>
      </c>
      <c r="B115" s="124">
        <v>56</v>
      </c>
      <c r="C115" s="124">
        <v>50</v>
      </c>
      <c r="D115" s="124">
        <v>53</v>
      </c>
      <c r="E115" s="124">
        <v>43.9</v>
      </c>
      <c r="F115" s="124">
        <v>46</v>
      </c>
      <c r="G115" s="124">
        <v>41.5</v>
      </c>
      <c r="H115" s="124">
        <v>39.4</v>
      </c>
      <c r="I115" s="124">
        <v>36.299999999999997</v>
      </c>
      <c r="J115" s="124">
        <v>30.7</v>
      </c>
      <c r="K115" s="124">
        <v>21.3</v>
      </c>
      <c r="L115" s="124">
        <v>27</v>
      </c>
      <c r="M115" s="124">
        <v>22.2</v>
      </c>
      <c r="N115" s="124">
        <v>17.600000000000001</v>
      </c>
      <c r="O115" s="124">
        <v>15.5</v>
      </c>
      <c r="P115" s="124">
        <v>22.1</v>
      </c>
      <c r="Q115" s="124">
        <v>14.7</v>
      </c>
      <c r="R115" s="124">
        <v>18.7</v>
      </c>
      <c r="S115" s="124">
        <v>18.899999999999999</v>
      </c>
      <c r="T115" s="124">
        <v>17.100000000000001</v>
      </c>
      <c r="U115" s="124">
        <v>17.100000000000001</v>
      </c>
      <c r="V115" s="124"/>
      <c r="W115" s="124"/>
      <c r="X115" s="124"/>
      <c r="Y115" s="124"/>
      <c r="Z115" s="124"/>
      <c r="AA115" s="124"/>
      <c r="AB115" s="124"/>
      <c r="AC115" s="124"/>
      <c r="AD115" s="124">
        <v>29</v>
      </c>
      <c r="AE115" s="124"/>
      <c r="AF115" s="124">
        <v>49.2</v>
      </c>
      <c r="AG115" s="126"/>
      <c r="AH115" s="52">
        <f t="shared" si="11"/>
        <v>56</v>
      </c>
      <c r="AI115" s="53">
        <f t="shared" si="12"/>
        <v>14.7</v>
      </c>
    </row>
    <row r="116" spans="1:37" x14ac:dyDescent="0.25">
      <c r="A116" s="127" t="s">
        <v>124</v>
      </c>
      <c r="B116" s="113">
        <v>-4</v>
      </c>
      <c r="C116" s="113">
        <v>1.5</v>
      </c>
      <c r="D116" s="113">
        <v>1</v>
      </c>
      <c r="E116" s="113">
        <v>1.8</v>
      </c>
      <c r="F116" s="113">
        <v>2.8</v>
      </c>
      <c r="G116" s="113">
        <v>4.4000000000000004</v>
      </c>
      <c r="H116" s="113">
        <v>2.2999999999999998</v>
      </c>
      <c r="I116" s="113">
        <v>12.3</v>
      </c>
      <c r="J116" s="113">
        <v>18.5</v>
      </c>
      <c r="K116" s="113">
        <v>-21.4</v>
      </c>
      <c r="L116" s="113">
        <v>-24.5</v>
      </c>
      <c r="M116" s="113">
        <v>-22.6</v>
      </c>
      <c r="N116" s="113">
        <v>-40.6</v>
      </c>
      <c r="O116" s="113">
        <v>-22</v>
      </c>
      <c r="P116" s="113">
        <v>-18.600000000000001</v>
      </c>
      <c r="Q116" s="113">
        <v>-36.4</v>
      </c>
      <c r="R116" s="113">
        <v>-36.200000000000003</v>
      </c>
      <c r="S116" s="113">
        <v>-44</v>
      </c>
      <c r="T116" s="113">
        <v>-43.6</v>
      </c>
      <c r="U116" s="113">
        <v>-38.5</v>
      </c>
      <c r="V116" s="113">
        <v>-39</v>
      </c>
      <c r="W116" s="113">
        <v>-39.799999999999997</v>
      </c>
      <c r="X116" s="113">
        <v>-48.5</v>
      </c>
      <c r="Y116" s="113">
        <v>51.9</v>
      </c>
      <c r="Z116" s="113">
        <v>58</v>
      </c>
      <c r="AA116" s="113">
        <v>-51.4</v>
      </c>
      <c r="AB116" s="113">
        <v>-48</v>
      </c>
      <c r="AC116" s="113">
        <v>-48</v>
      </c>
      <c r="AD116" s="113">
        <v>-39.4</v>
      </c>
      <c r="AE116" s="113">
        <v>-34</v>
      </c>
      <c r="AF116" s="113">
        <v>-32.6</v>
      </c>
      <c r="AG116" s="126"/>
      <c r="AH116" s="52">
        <f t="shared" si="11"/>
        <v>58</v>
      </c>
      <c r="AI116" s="53">
        <f t="shared" si="12"/>
        <v>-51.4</v>
      </c>
    </row>
    <row r="117" spans="1:37" ht="15.75" thickBot="1" x14ac:dyDescent="0.3">
      <c r="A117" s="127" t="s">
        <v>125</v>
      </c>
      <c r="B117" s="113">
        <v>78</v>
      </c>
      <c r="C117" s="113">
        <v>69</v>
      </c>
      <c r="D117" s="113">
        <v>72</v>
      </c>
      <c r="E117" s="113">
        <v>72.2</v>
      </c>
      <c r="F117" s="113">
        <v>66.2</v>
      </c>
      <c r="G117" s="113">
        <v>68</v>
      </c>
      <c r="H117" s="113">
        <v>66.7</v>
      </c>
      <c r="I117" s="113">
        <v>75</v>
      </c>
      <c r="J117" s="113">
        <v>85</v>
      </c>
      <c r="K117" s="113">
        <v>99</v>
      </c>
      <c r="L117" s="113">
        <v>96</v>
      </c>
      <c r="M117" s="113">
        <v>101</v>
      </c>
      <c r="N117" s="113">
        <v>109.8</v>
      </c>
      <c r="O117" s="113">
        <v>105.3</v>
      </c>
      <c r="P117" s="113">
        <v>106.5</v>
      </c>
      <c r="Q117" s="113">
        <v>107.3</v>
      </c>
      <c r="R117" s="113">
        <v>111.3</v>
      </c>
      <c r="S117" s="113">
        <v>108.2</v>
      </c>
      <c r="T117" s="113">
        <v>112</v>
      </c>
      <c r="U117" s="113">
        <v>106.6</v>
      </c>
      <c r="V117" s="113">
        <v>100</v>
      </c>
      <c r="W117" s="113">
        <v>105.6</v>
      </c>
      <c r="X117" s="113">
        <v>106</v>
      </c>
      <c r="Y117" s="113">
        <v>110.5</v>
      </c>
      <c r="Z117" s="113">
        <v>110</v>
      </c>
      <c r="AA117" s="113">
        <v>112.4</v>
      </c>
      <c r="AB117" s="113">
        <v>110.8</v>
      </c>
      <c r="AC117" s="113">
        <v>110.8</v>
      </c>
      <c r="AD117" s="113">
        <v>100.7</v>
      </c>
      <c r="AE117" s="113">
        <v>112</v>
      </c>
      <c r="AF117" s="113">
        <v>111.6</v>
      </c>
      <c r="AG117" s="126"/>
      <c r="AH117" s="52">
        <f t="shared" si="11"/>
        <v>112.4</v>
      </c>
      <c r="AI117" s="53">
        <f t="shared" si="12"/>
        <v>66.2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19">SUM(B119:B223)</f>
        <v>0</v>
      </c>
      <c r="C224" s="144">
        <f t="shared" si="19"/>
        <v>0</v>
      </c>
      <c r="D224" s="144">
        <f t="shared" si="19"/>
        <v>0</v>
      </c>
      <c r="E224" s="144">
        <f t="shared" si="19"/>
        <v>0</v>
      </c>
      <c r="F224" s="144">
        <f t="shared" si="19"/>
        <v>0</v>
      </c>
      <c r="G224" s="144">
        <f t="shared" si="19"/>
        <v>0</v>
      </c>
      <c r="H224" s="144">
        <f t="shared" si="19"/>
        <v>0</v>
      </c>
      <c r="I224" s="144">
        <f t="shared" si="19"/>
        <v>0</v>
      </c>
      <c r="J224" s="144">
        <f t="shared" si="19"/>
        <v>0</v>
      </c>
      <c r="K224" s="144">
        <f t="shared" si="19"/>
        <v>0</v>
      </c>
      <c r="L224" s="144">
        <f t="shared" si="19"/>
        <v>0</v>
      </c>
      <c r="M224" s="144">
        <f t="shared" si="19"/>
        <v>0</v>
      </c>
      <c r="N224" s="144">
        <f t="shared" si="19"/>
        <v>0</v>
      </c>
      <c r="O224" s="144">
        <f t="shared" si="19"/>
        <v>0</v>
      </c>
      <c r="P224" s="144">
        <f t="shared" si="19"/>
        <v>0</v>
      </c>
      <c r="Q224" s="144">
        <f t="shared" si="19"/>
        <v>0</v>
      </c>
      <c r="R224" s="144">
        <f t="shared" si="19"/>
        <v>0</v>
      </c>
      <c r="S224" s="144">
        <f t="shared" si="19"/>
        <v>0</v>
      </c>
      <c r="T224" s="144">
        <f t="shared" si="19"/>
        <v>0</v>
      </c>
      <c r="U224" s="144">
        <f t="shared" si="19"/>
        <v>0</v>
      </c>
      <c r="V224" s="144">
        <f t="shared" si="19"/>
        <v>0</v>
      </c>
      <c r="W224" s="144">
        <f t="shared" si="19"/>
        <v>0</v>
      </c>
      <c r="X224" s="144">
        <f t="shared" si="19"/>
        <v>0</v>
      </c>
      <c r="Y224" s="144">
        <f t="shared" si="19"/>
        <v>0</v>
      </c>
      <c r="Z224" s="144">
        <f t="shared" si="19"/>
        <v>0</v>
      </c>
      <c r="AA224" s="144">
        <f t="shared" si="19"/>
        <v>0</v>
      </c>
      <c r="AB224" s="144">
        <f t="shared" si="19"/>
        <v>0</v>
      </c>
      <c r="AC224" s="144">
        <f t="shared" si="19"/>
        <v>0</v>
      </c>
      <c r="AD224" s="144">
        <f t="shared" si="19"/>
        <v>0</v>
      </c>
      <c r="AE224" s="144">
        <f t="shared" si="19"/>
        <v>0</v>
      </c>
      <c r="AF224" s="145">
        <f t="shared" si="19"/>
        <v>0</v>
      </c>
      <c r="AG224" s="146">
        <f t="shared" si="19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20">AF226</f>
        <v>0</v>
      </c>
      <c r="C226" s="149">
        <v>0.3</v>
      </c>
      <c r="D226" s="149">
        <f t="shared" ref="D226:P231" si="21">C226</f>
        <v>0.3</v>
      </c>
      <c r="E226" s="149">
        <f t="shared" si="21"/>
        <v>0.3</v>
      </c>
      <c r="F226" s="149">
        <f t="shared" si="21"/>
        <v>0.3</v>
      </c>
      <c r="G226" s="149">
        <f t="shared" si="21"/>
        <v>0.3</v>
      </c>
      <c r="H226" s="149">
        <f t="shared" si="21"/>
        <v>0.3</v>
      </c>
      <c r="I226" s="149">
        <f t="shared" si="21"/>
        <v>0.3</v>
      </c>
      <c r="J226" s="149">
        <f t="shared" si="21"/>
        <v>0.3</v>
      </c>
      <c r="K226" s="149">
        <f t="shared" si="21"/>
        <v>0.3</v>
      </c>
      <c r="L226" s="149">
        <f t="shared" si="21"/>
        <v>0.3</v>
      </c>
      <c r="M226" s="149">
        <f t="shared" si="21"/>
        <v>0.3</v>
      </c>
      <c r="N226" s="149">
        <f t="shared" si="21"/>
        <v>0.3</v>
      </c>
      <c r="O226" s="149">
        <f t="shared" si="21"/>
        <v>0.3</v>
      </c>
      <c r="P226" s="149">
        <f t="shared" si="21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20"/>
        <v>0</v>
      </c>
      <c r="C227" s="136">
        <v>0.4</v>
      </c>
      <c r="D227" s="136">
        <f t="shared" si="21"/>
        <v>0.4</v>
      </c>
      <c r="E227" s="136">
        <f t="shared" si="21"/>
        <v>0.4</v>
      </c>
      <c r="F227" s="136">
        <f t="shared" si="21"/>
        <v>0.4</v>
      </c>
      <c r="G227" s="136">
        <f t="shared" si="21"/>
        <v>0.4</v>
      </c>
      <c r="H227" s="136">
        <f t="shared" si="21"/>
        <v>0.4</v>
      </c>
      <c r="I227" s="136">
        <f t="shared" si="21"/>
        <v>0.4</v>
      </c>
      <c r="J227" s="136">
        <f t="shared" si="21"/>
        <v>0.4</v>
      </c>
      <c r="K227" s="136">
        <f t="shared" si="21"/>
        <v>0.4</v>
      </c>
      <c r="L227" s="136">
        <f t="shared" si="21"/>
        <v>0.4</v>
      </c>
      <c r="M227" s="136">
        <f t="shared" si="21"/>
        <v>0.4</v>
      </c>
      <c r="N227" s="136">
        <f t="shared" si="21"/>
        <v>0.4</v>
      </c>
      <c r="O227" s="136">
        <f t="shared" si="21"/>
        <v>0.4</v>
      </c>
      <c r="P227" s="136">
        <f t="shared" si="21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20"/>
        <v>0</v>
      </c>
      <c r="C228" s="136">
        <v>1.5</v>
      </c>
      <c r="D228" s="136">
        <f t="shared" si="21"/>
        <v>1.5</v>
      </c>
      <c r="E228" s="136">
        <f t="shared" si="21"/>
        <v>1.5</v>
      </c>
      <c r="F228" s="136">
        <f t="shared" si="21"/>
        <v>1.5</v>
      </c>
      <c r="G228" s="136">
        <f t="shared" si="21"/>
        <v>1.5</v>
      </c>
      <c r="H228" s="136">
        <f t="shared" si="21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21"/>
        <v>1.5</v>
      </c>
      <c r="K228" s="136">
        <f t="shared" ca="1" si="21"/>
        <v>1.5</v>
      </c>
      <c r="L228" s="136">
        <f t="shared" ca="1" si="21"/>
        <v>1.5</v>
      </c>
      <c r="M228" s="136">
        <f t="shared" ca="1" si="21"/>
        <v>1.5</v>
      </c>
      <c r="N228" s="136">
        <f t="shared" ca="1" si="21"/>
        <v>1.5</v>
      </c>
      <c r="O228" s="136">
        <f t="shared" ca="1" si="21"/>
        <v>1.5</v>
      </c>
      <c r="P228" s="136">
        <f t="shared" ca="1" si="21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20"/>
        <v>0</v>
      </c>
      <c r="C229" s="136">
        <v>0.3</v>
      </c>
      <c r="D229" s="136">
        <f t="shared" si="21"/>
        <v>0.3</v>
      </c>
      <c r="E229" s="136">
        <f t="shared" si="21"/>
        <v>0.3</v>
      </c>
      <c r="F229" s="136">
        <f t="shared" si="21"/>
        <v>0.3</v>
      </c>
      <c r="G229" s="136">
        <f t="shared" si="21"/>
        <v>0.3</v>
      </c>
      <c r="H229" s="136">
        <f t="shared" si="21"/>
        <v>0.3</v>
      </c>
      <c r="I229" s="136">
        <f t="shared" si="21"/>
        <v>0.3</v>
      </c>
      <c r="J229" s="136">
        <f t="shared" si="21"/>
        <v>0.3</v>
      </c>
      <c r="K229" s="136">
        <f t="shared" si="21"/>
        <v>0.3</v>
      </c>
      <c r="L229" s="136">
        <f t="shared" si="21"/>
        <v>0.3</v>
      </c>
      <c r="M229" s="136">
        <f t="shared" si="21"/>
        <v>0.3</v>
      </c>
      <c r="N229" s="136">
        <f t="shared" si="21"/>
        <v>0.3</v>
      </c>
      <c r="O229" s="136">
        <f t="shared" si="21"/>
        <v>0.3</v>
      </c>
      <c r="P229" s="136">
        <f t="shared" si="21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20"/>
        <v>0</v>
      </c>
      <c r="C230" s="136">
        <v>0.4</v>
      </c>
      <c r="D230" s="136">
        <f t="shared" si="21"/>
        <v>0.4</v>
      </c>
      <c r="E230" s="136">
        <f t="shared" si="21"/>
        <v>0.4</v>
      </c>
      <c r="F230" s="136">
        <f t="shared" si="21"/>
        <v>0.4</v>
      </c>
      <c r="G230" s="136">
        <f t="shared" si="21"/>
        <v>0.4</v>
      </c>
      <c r="H230" s="136">
        <f t="shared" si="21"/>
        <v>0.4</v>
      </c>
      <c r="I230" s="136">
        <f t="shared" si="21"/>
        <v>0.4</v>
      </c>
      <c r="J230" s="136">
        <f t="shared" si="21"/>
        <v>0.4</v>
      </c>
      <c r="K230" s="136">
        <f t="shared" si="21"/>
        <v>0.4</v>
      </c>
      <c r="L230" s="136">
        <f t="shared" si="21"/>
        <v>0.4</v>
      </c>
      <c r="M230" s="136">
        <f t="shared" si="21"/>
        <v>0.4</v>
      </c>
      <c r="N230" s="136">
        <f t="shared" si="21"/>
        <v>0.4</v>
      </c>
      <c r="O230" s="136">
        <f t="shared" si="21"/>
        <v>0.4</v>
      </c>
      <c r="P230" s="136">
        <f t="shared" si="21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20"/>
        <v>0</v>
      </c>
      <c r="C231" s="140">
        <v>0.64</v>
      </c>
      <c r="D231" s="140">
        <f t="shared" si="21"/>
        <v>0.64</v>
      </c>
      <c r="E231" s="140">
        <f t="shared" si="21"/>
        <v>0.64</v>
      </c>
      <c r="F231" s="140">
        <f t="shared" si="21"/>
        <v>0.64</v>
      </c>
      <c r="G231" s="140">
        <f t="shared" si="21"/>
        <v>0.64</v>
      </c>
      <c r="H231" s="140">
        <f t="shared" si="21"/>
        <v>0.64</v>
      </c>
      <c r="I231" s="140">
        <f t="shared" si="21"/>
        <v>0.64</v>
      </c>
      <c r="J231" s="140">
        <f t="shared" si="21"/>
        <v>0.64</v>
      </c>
      <c r="K231" s="140">
        <f t="shared" si="21"/>
        <v>0.64</v>
      </c>
      <c r="L231" s="140">
        <f t="shared" si="21"/>
        <v>0.64</v>
      </c>
      <c r="M231" s="140">
        <f t="shared" si="21"/>
        <v>0.64</v>
      </c>
      <c r="N231" s="140">
        <f t="shared" si="21"/>
        <v>0.64</v>
      </c>
      <c r="O231" s="140">
        <f t="shared" si="21"/>
        <v>0.64</v>
      </c>
      <c r="P231" s="140">
        <f t="shared" si="21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22">SUM(B226:B231)</f>
        <v>0</v>
      </c>
      <c r="C232" s="144">
        <f t="shared" si="22"/>
        <v>3.54</v>
      </c>
      <c r="D232" s="144">
        <f t="shared" si="22"/>
        <v>3.54</v>
      </c>
      <c r="E232" s="144">
        <f t="shared" si="22"/>
        <v>3.54</v>
      </c>
      <c r="F232" s="144">
        <f t="shared" si="22"/>
        <v>3.54</v>
      </c>
      <c r="G232" s="144">
        <f t="shared" si="22"/>
        <v>3.54</v>
      </c>
      <c r="H232" s="144">
        <f t="shared" si="22"/>
        <v>3.54</v>
      </c>
      <c r="I232" s="144">
        <f t="shared" ca="1" si="22"/>
        <v>3.54</v>
      </c>
      <c r="J232" s="144">
        <f t="shared" ca="1" si="22"/>
        <v>3.54</v>
      </c>
      <c r="K232" s="144">
        <f t="shared" ca="1" si="22"/>
        <v>3.54</v>
      </c>
      <c r="L232" s="144">
        <f t="shared" ca="1" si="22"/>
        <v>3.54</v>
      </c>
      <c r="M232" s="144">
        <f t="shared" ca="1" si="22"/>
        <v>3.54</v>
      </c>
      <c r="N232" s="144">
        <f t="shared" ca="1" si="22"/>
        <v>3.54</v>
      </c>
      <c r="O232" s="144">
        <f t="shared" ca="1" si="22"/>
        <v>3.54</v>
      </c>
      <c r="P232" s="144">
        <f t="shared" ca="1" si="22"/>
        <v>3.54</v>
      </c>
      <c r="Q232" s="144">
        <f t="shared" si="22"/>
        <v>0</v>
      </c>
      <c r="R232" s="144">
        <f t="shared" si="22"/>
        <v>0</v>
      </c>
      <c r="S232" s="144">
        <f t="shared" si="22"/>
        <v>0</v>
      </c>
      <c r="T232" s="144">
        <f t="shared" si="22"/>
        <v>0</v>
      </c>
      <c r="U232" s="144">
        <f t="shared" si="22"/>
        <v>0</v>
      </c>
      <c r="V232" s="144">
        <f t="shared" si="22"/>
        <v>0</v>
      </c>
      <c r="W232" s="144">
        <f t="shared" si="22"/>
        <v>0</v>
      </c>
      <c r="X232" s="144">
        <f t="shared" si="22"/>
        <v>0</v>
      </c>
      <c r="Y232" s="144">
        <f t="shared" si="22"/>
        <v>0</v>
      </c>
      <c r="Z232" s="144">
        <f t="shared" si="22"/>
        <v>0</v>
      </c>
      <c r="AA232" s="144">
        <f t="shared" si="22"/>
        <v>0</v>
      </c>
      <c r="AB232" s="144">
        <f t="shared" si="22"/>
        <v>0</v>
      </c>
      <c r="AC232" s="144">
        <f t="shared" si="22"/>
        <v>0</v>
      </c>
      <c r="AD232" s="144">
        <f t="shared" si="22"/>
        <v>0</v>
      </c>
      <c r="AE232" s="144">
        <f t="shared" si="22"/>
        <v>0</v>
      </c>
      <c r="AF232" s="144">
        <f t="shared" si="22"/>
        <v>0</v>
      </c>
      <c r="AG232" s="154">
        <f t="shared" si="22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1484.84</v>
      </c>
      <c r="C241" s="170">
        <f>INDEX(G9:N9,1,MATCH(MAX(G89:N89),G89:N89,0))</f>
        <v>0.3125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20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2079/12/20)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2079/12/20)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23">B89</f>
        <v>1177.1399999999999</v>
      </c>
      <c r="U246" s="180">
        <f t="shared" si="23"/>
        <v>1193.44</v>
      </c>
      <c r="V246" s="180">
        <f t="shared" si="23"/>
        <v>1181.1400000000001</v>
      </c>
      <c r="W246" s="180">
        <f t="shared" si="23"/>
        <v>1201.239</v>
      </c>
      <c r="X246" s="180">
        <f t="shared" si="23"/>
        <v>1136.24</v>
      </c>
      <c r="Y246" s="180">
        <f t="shared" si="23"/>
        <v>1193.8400000000001</v>
      </c>
      <c r="Z246" s="180">
        <f t="shared" si="23"/>
        <v>1193.1400000000001</v>
      </c>
      <c r="AA246" s="180">
        <f t="shared" si="23"/>
        <v>1277.74</v>
      </c>
      <c r="AB246" s="180">
        <f t="shared" si="23"/>
        <v>1400.94</v>
      </c>
      <c r="AC246" s="180">
        <f t="shared" si="23"/>
        <v>1422.54</v>
      </c>
      <c r="AD246" s="180">
        <f t="shared" si="23"/>
        <v>1484.84</v>
      </c>
      <c r="AE246" s="180">
        <f t="shared" si="23"/>
        <v>1467.6399999999999</v>
      </c>
      <c r="AF246" s="180">
        <f t="shared" si="23"/>
        <v>1447.6399999999999</v>
      </c>
      <c r="AG246" s="180">
        <f t="shared" si="23"/>
        <v>1431.1399999999999</v>
      </c>
      <c r="AH246" s="180">
        <f t="shared" si="23"/>
        <v>1423.3399999999997</v>
      </c>
      <c r="AI246" s="180">
        <f t="shared" si="23"/>
        <v>1404.24</v>
      </c>
      <c r="AJ246" s="180">
        <f t="shared" si="23"/>
        <v>1391.44</v>
      </c>
      <c r="AK246" s="180">
        <f t="shared" si="23"/>
        <v>1466.54</v>
      </c>
      <c r="AL246" s="180">
        <f t="shared" si="23"/>
        <v>1453.14</v>
      </c>
      <c r="AM246" s="180">
        <f t="shared" si="23"/>
        <v>1373.3400000000001</v>
      </c>
      <c r="AN246" s="180">
        <f t="shared" si="23"/>
        <v>1335.74</v>
      </c>
      <c r="AO246" s="180">
        <f t="shared" si="23"/>
        <v>1337.44</v>
      </c>
      <c r="AP246" s="180">
        <f t="shared" si="23"/>
        <v>1268.7399999999998</v>
      </c>
      <c r="AQ246" s="180">
        <f t="shared" si="23"/>
        <v>1359.1399999999999</v>
      </c>
      <c r="AR246" s="180">
        <f t="shared" si="23"/>
        <v>1486.74</v>
      </c>
      <c r="AS246" s="180">
        <f t="shared" si="23"/>
        <v>1443.7399999999998</v>
      </c>
      <c r="AT246" s="180">
        <f t="shared" si="23"/>
        <v>1346.94</v>
      </c>
      <c r="AU246" s="180">
        <f t="shared" si="23"/>
        <v>1378.74</v>
      </c>
      <c r="AV246" s="180">
        <f t="shared" si="23"/>
        <v>1247.3399999999999</v>
      </c>
      <c r="AW246" s="180">
        <f t="shared" si="23"/>
        <v>1124.04</v>
      </c>
      <c r="AX246" s="180">
        <f t="shared" si="23"/>
        <v>1132.1400000000001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24">C231</f>
        <v>0.64</v>
      </c>
      <c r="C267" s="183">
        <f t="shared" si="24"/>
        <v>0.64</v>
      </c>
      <c r="D267" s="183">
        <f t="shared" si="24"/>
        <v>0.64</v>
      </c>
      <c r="E267" s="183">
        <f t="shared" si="24"/>
        <v>0.64</v>
      </c>
      <c r="F267" s="183">
        <f t="shared" si="24"/>
        <v>0.64</v>
      </c>
      <c r="G267" s="183">
        <f t="shared" si="24"/>
        <v>0.64</v>
      </c>
      <c r="H267" s="183">
        <f t="shared" si="24"/>
        <v>0.64</v>
      </c>
      <c r="I267" s="183">
        <f t="shared" si="24"/>
        <v>0.64</v>
      </c>
      <c r="J267" s="183">
        <f t="shared" si="24"/>
        <v>0.64</v>
      </c>
      <c r="K267" s="183">
        <f t="shared" si="24"/>
        <v>0.64</v>
      </c>
      <c r="L267" s="183">
        <f t="shared" si="24"/>
        <v>0.64</v>
      </c>
      <c r="M267" s="183">
        <f t="shared" si="24"/>
        <v>0.64</v>
      </c>
      <c r="N267" s="183">
        <f t="shared" si="24"/>
        <v>0.64</v>
      </c>
      <c r="O267" s="183">
        <f t="shared" si="24"/>
        <v>0.64</v>
      </c>
      <c r="P267" s="183">
        <f t="shared" si="24"/>
        <v>0</v>
      </c>
      <c r="Q267" s="183">
        <f t="shared" si="24"/>
        <v>0</v>
      </c>
      <c r="R267" s="183">
        <f t="shared" si="24"/>
        <v>0</v>
      </c>
      <c r="S267" s="183">
        <f t="shared" si="24"/>
        <v>0</v>
      </c>
      <c r="T267" s="183">
        <f t="shared" si="24"/>
        <v>0</v>
      </c>
      <c r="U267" s="183">
        <f t="shared" si="24"/>
        <v>0</v>
      </c>
      <c r="V267" s="183">
        <f t="shared" si="24"/>
        <v>0</v>
      </c>
      <c r="W267" s="183">
        <f t="shared" si="24"/>
        <v>0</v>
      </c>
      <c r="X267" s="183">
        <f t="shared" si="24"/>
        <v>0</v>
      </c>
      <c r="Y267" s="183">
        <f t="shared" si="24"/>
        <v>0</v>
      </c>
      <c r="Z267" s="183">
        <f t="shared" si="24"/>
        <v>0</v>
      </c>
      <c r="AA267" s="183">
        <f t="shared" si="24"/>
        <v>0</v>
      </c>
      <c r="AB267" s="183">
        <f t="shared" si="24"/>
        <v>0</v>
      </c>
      <c r="AC267" s="183">
        <f t="shared" si="24"/>
        <v>0</v>
      </c>
      <c r="AD267" s="183">
        <f t="shared" si="24"/>
        <v>0</v>
      </c>
      <c r="AE267" s="183">
        <f t="shared" si="24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25">IF(B235&lt;100,"",B235-520)</f>
        <v/>
      </c>
      <c r="C268" s="184" t="str">
        <f t="shared" si="25"/>
        <v/>
      </c>
      <c r="D268" s="184" t="str">
        <f t="shared" si="25"/>
        <v/>
      </c>
      <c r="E268" s="184" t="str">
        <f t="shared" si="25"/>
        <v/>
      </c>
      <c r="F268" s="184" t="str">
        <f t="shared" si="25"/>
        <v/>
      </c>
      <c r="G268" s="184" t="str">
        <f t="shared" si="25"/>
        <v/>
      </c>
      <c r="H268" s="184" t="str">
        <f t="shared" si="25"/>
        <v/>
      </c>
      <c r="I268" s="184" t="str">
        <f t="shared" si="25"/>
        <v/>
      </c>
      <c r="J268" s="184" t="str">
        <f t="shared" si="25"/>
        <v/>
      </c>
      <c r="K268" s="184" t="str">
        <f t="shared" si="25"/>
        <v/>
      </c>
      <c r="L268" s="184" t="str">
        <f t="shared" si="25"/>
        <v/>
      </c>
      <c r="M268" s="184" t="str">
        <f t="shared" si="25"/>
        <v/>
      </c>
      <c r="N268" s="184" t="str">
        <f t="shared" si="25"/>
        <v/>
      </c>
      <c r="O268" s="184" t="str">
        <f t="shared" si="25"/>
        <v/>
      </c>
      <c r="P268" s="184" t="str">
        <f t="shared" si="25"/>
        <v/>
      </c>
      <c r="Q268" s="184" t="str">
        <f t="shared" si="25"/>
        <v/>
      </c>
      <c r="R268" s="184" t="str">
        <f t="shared" si="25"/>
        <v/>
      </c>
      <c r="S268" s="184" t="str">
        <f t="shared" si="25"/>
        <v/>
      </c>
      <c r="T268" s="184" t="str">
        <f t="shared" si="25"/>
        <v/>
      </c>
      <c r="U268" s="184" t="str">
        <f t="shared" si="25"/>
        <v/>
      </c>
      <c r="V268" s="184" t="str">
        <f t="shared" si="25"/>
        <v/>
      </c>
      <c r="W268" s="184" t="str">
        <f t="shared" si="25"/>
        <v/>
      </c>
      <c r="X268" s="184" t="str">
        <f t="shared" si="25"/>
        <v/>
      </c>
      <c r="Y268" s="184" t="str">
        <f t="shared" si="25"/>
        <v/>
      </c>
      <c r="Z268" s="184" t="str">
        <f t="shared" si="25"/>
        <v/>
      </c>
      <c r="AA268" s="184" t="str">
        <f t="shared" si="25"/>
        <v/>
      </c>
      <c r="AB268" s="184" t="str">
        <f t="shared" si="25"/>
        <v/>
      </c>
      <c r="AC268" s="184" t="str">
        <f t="shared" si="25"/>
        <v/>
      </c>
      <c r="AD268" s="184" t="str">
        <f t="shared" si="25"/>
        <v/>
      </c>
      <c r="AE268" s="184" t="str">
        <f t="shared" si="25"/>
        <v/>
      </c>
      <c r="AF268" s="184" t="str">
        <f t="shared" si="25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26">IF(B236&lt;100,"",B236-620)</f>
        <v/>
      </c>
      <c r="C269" s="184" t="str">
        <f t="shared" si="26"/>
        <v/>
      </c>
      <c r="D269" s="184" t="str">
        <f t="shared" si="26"/>
        <v/>
      </c>
      <c r="E269" s="184" t="str">
        <f t="shared" si="26"/>
        <v/>
      </c>
      <c r="F269" s="184" t="str">
        <f t="shared" si="26"/>
        <v/>
      </c>
      <c r="G269" s="184" t="str">
        <f t="shared" si="26"/>
        <v/>
      </c>
      <c r="H269" s="184" t="str">
        <f t="shared" si="26"/>
        <v/>
      </c>
      <c r="I269" s="184" t="str">
        <f t="shared" si="26"/>
        <v/>
      </c>
      <c r="J269" s="184" t="str">
        <f t="shared" si="26"/>
        <v/>
      </c>
      <c r="K269" s="184" t="str">
        <f t="shared" si="26"/>
        <v/>
      </c>
      <c r="L269" s="184" t="str">
        <f t="shared" si="26"/>
        <v/>
      </c>
      <c r="M269" s="184" t="str">
        <f t="shared" si="26"/>
        <v/>
      </c>
      <c r="N269" s="184" t="str">
        <f t="shared" si="26"/>
        <v/>
      </c>
      <c r="O269" s="184" t="str">
        <f t="shared" si="26"/>
        <v/>
      </c>
      <c r="P269" s="184" t="str">
        <f t="shared" si="26"/>
        <v/>
      </c>
      <c r="Q269" s="184" t="str">
        <f t="shared" si="26"/>
        <v/>
      </c>
      <c r="R269" s="184" t="str">
        <f t="shared" si="26"/>
        <v/>
      </c>
      <c r="S269" s="184" t="str">
        <f t="shared" si="26"/>
        <v/>
      </c>
      <c r="T269" s="184" t="str">
        <f t="shared" si="26"/>
        <v/>
      </c>
      <c r="U269" s="184" t="str">
        <f t="shared" si="26"/>
        <v/>
      </c>
      <c r="V269" s="184" t="str">
        <f t="shared" si="26"/>
        <v/>
      </c>
      <c r="W269" s="184" t="str">
        <f t="shared" si="26"/>
        <v/>
      </c>
      <c r="X269" s="184" t="str">
        <f t="shared" si="26"/>
        <v/>
      </c>
      <c r="Y269" s="184" t="str">
        <f t="shared" si="26"/>
        <v/>
      </c>
      <c r="Z269" s="184" t="str">
        <f t="shared" si="26"/>
        <v/>
      </c>
      <c r="AA269" s="184" t="str">
        <f t="shared" si="26"/>
        <v/>
      </c>
      <c r="AB269" s="184" t="str">
        <f t="shared" si="26"/>
        <v/>
      </c>
      <c r="AC269" s="184" t="str">
        <f t="shared" si="26"/>
        <v/>
      </c>
      <c r="AD269" s="184" t="str">
        <f t="shared" si="26"/>
        <v/>
      </c>
      <c r="AE269" s="184" t="str">
        <f t="shared" si="26"/>
        <v/>
      </c>
      <c r="AF269" s="184" t="str">
        <f t="shared" si="26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27">IF(B237&lt;100,"",B237-330)</f>
        <v/>
      </c>
      <c r="C270" s="184" t="str">
        <f t="shared" si="27"/>
        <v/>
      </c>
      <c r="D270" s="184" t="str">
        <f t="shared" si="27"/>
        <v/>
      </c>
      <c r="E270" s="184" t="str">
        <f t="shared" si="27"/>
        <v/>
      </c>
      <c r="F270" s="184" t="str">
        <f t="shared" si="27"/>
        <v/>
      </c>
      <c r="G270" s="184" t="str">
        <f t="shared" si="27"/>
        <v/>
      </c>
      <c r="H270" s="184" t="str">
        <f t="shared" si="27"/>
        <v/>
      </c>
      <c r="I270" s="184" t="str">
        <f t="shared" si="27"/>
        <v/>
      </c>
      <c r="J270" s="184" t="str">
        <f t="shared" si="27"/>
        <v/>
      </c>
      <c r="K270" s="184" t="str">
        <f t="shared" si="27"/>
        <v/>
      </c>
      <c r="L270" s="184" t="str">
        <f t="shared" si="27"/>
        <v/>
      </c>
      <c r="M270" s="184" t="str">
        <f t="shared" si="27"/>
        <v/>
      </c>
      <c r="N270" s="184" t="str">
        <f t="shared" si="27"/>
        <v/>
      </c>
      <c r="O270" s="184" t="str">
        <f t="shared" si="27"/>
        <v/>
      </c>
      <c r="P270" s="184" t="str">
        <f t="shared" si="27"/>
        <v/>
      </c>
      <c r="Q270" s="184" t="str">
        <f t="shared" si="27"/>
        <v/>
      </c>
      <c r="R270" s="184" t="str">
        <f t="shared" si="27"/>
        <v/>
      </c>
      <c r="S270" s="184" t="str">
        <f t="shared" si="27"/>
        <v/>
      </c>
      <c r="T270" s="184" t="str">
        <f t="shared" si="27"/>
        <v/>
      </c>
      <c r="U270" s="184" t="str">
        <f t="shared" si="27"/>
        <v/>
      </c>
      <c r="V270" s="184" t="str">
        <f t="shared" si="27"/>
        <v/>
      </c>
      <c r="W270" s="184" t="str">
        <f t="shared" si="27"/>
        <v/>
      </c>
      <c r="X270" s="184" t="str">
        <f t="shared" si="27"/>
        <v/>
      </c>
      <c r="Y270" s="184" t="str">
        <f t="shared" si="27"/>
        <v/>
      </c>
      <c r="Z270" s="184" t="str">
        <f t="shared" si="27"/>
        <v/>
      </c>
      <c r="AA270" s="184" t="str">
        <f t="shared" si="27"/>
        <v/>
      </c>
      <c r="AB270" s="184" t="str">
        <f t="shared" si="27"/>
        <v/>
      </c>
      <c r="AC270" s="184" t="str">
        <f t="shared" si="27"/>
        <v/>
      </c>
      <c r="AD270" s="184" t="str">
        <f t="shared" si="27"/>
        <v/>
      </c>
      <c r="AE270" s="184" t="str">
        <f t="shared" si="27"/>
        <v/>
      </c>
      <c r="AF270" s="184" t="str">
        <f t="shared" si="27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28">IF(B238&lt;100,"",B238-1500)</f>
        <v/>
      </c>
      <c r="C271" s="184" t="str">
        <f t="shared" si="28"/>
        <v/>
      </c>
      <c r="D271" s="184" t="str">
        <f t="shared" si="28"/>
        <v/>
      </c>
      <c r="E271" s="184" t="str">
        <f t="shared" si="28"/>
        <v/>
      </c>
      <c r="F271" s="184" t="str">
        <f t="shared" si="28"/>
        <v/>
      </c>
      <c r="G271" s="184" t="str">
        <f t="shared" si="28"/>
        <v/>
      </c>
      <c r="H271" s="184" t="str">
        <f t="shared" si="28"/>
        <v/>
      </c>
      <c r="I271" s="184" t="str">
        <f t="shared" si="28"/>
        <v/>
      </c>
      <c r="J271" s="184" t="str">
        <f t="shared" si="28"/>
        <v/>
      </c>
      <c r="K271" s="184" t="str">
        <f t="shared" si="28"/>
        <v/>
      </c>
      <c r="L271" s="184" t="str">
        <f t="shared" si="28"/>
        <v/>
      </c>
      <c r="M271" s="184" t="str">
        <f t="shared" si="28"/>
        <v/>
      </c>
      <c r="N271" s="184" t="str">
        <f t="shared" si="28"/>
        <v/>
      </c>
      <c r="O271" s="184" t="str">
        <f t="shared" si="28"/>
        <v/>
      </c>
      <c r="P271" s="184" t="str">
        <f t="shared" si="28"/>
        <v/>
      </c>
      <c r="Q271" s="184" t="str">
        <f t="shared" si="28"/>
        <v/>
      </c>
      <c r="R271" s="184" t="str">
        <f t="shared" si="28"/>
        <v/>
      </c>
      <c r="S271" s="184" t="str">
        <f t="shared" si="28"/>
        <v/>
      </c>
      <c r="T271" s="184" t="str">
        <f t="shared" si="28"/>
        <v/>
      </c>
      <c r="U271" s="184" t="str">
        <f t="shared" si="28"/>
        <v/>
      </c>
      <c r="V271" s="184" t="str">
        <f t="shared" si="28"/>
        <v/>
      </c>
      <c r="W271" s="184" t="str">
        <f t="shared" si="28"/>
        <v/>
      </c>
      <c r="X271" s="184" t="str">
        <f t="shared" si="28"/>
        <v/>
      </c>
      <c r="Y271" s="184" t="str">
        <f t="shared" si="28"/>
        <v/>
      </c>
      <c r="Z271" s="184" t="str">
        <f t="shared" si="28"/>
        <v/>
      </c>
      <c r="AA271" s="184" t="str">
        <f t="shared" si="28"/>
        <v/>
      </c>
      <c r="AB271" s="184" t="str">
        <f t="shared" si="28"/>
        <v/>
      </c>
      <c r="AC271" s="184" t="str">
        <f t="shared" si="28"/>
        <v/>
      </c>
      <c r="AD271" s="184" t="str">
        <f t="shared" si="28"/>
        <v/>
      </c>
      <c r="AE271" s="184" t="str">
        <f t="shared" si="28"/>
        <v/>
      </c>
      <c r="AF271" s="184" t="str">
        <f t="shared" si="28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3093" priority="339">
      <formula>B$9&gt;=20/24</formula>
    </cfRule>
    <cfRule type="expression" dxfId="3092" priority="340">
      <formula>AND(B$9&gt;=14/24,B$9&lt;20/24)</formula>
    </cfRule>
    <cfRule type="expression" dxfId="3091" priority="341">
      <formula>AND(B$9&gt;=8/24,B$9&lt;14/24)</formula>
    </cfRule>
    <cfRule type="expression" dxfId="3090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3089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3088" priority="336">
      <formula>$AH12=0</formula>
    </cfRule>
  </conditionalFormatting>
  <conditionalFormatting sqref="A114">
    <cfRule type="expression" dxfId="3087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3086" priority="333">
      <formula>$AH45=0</formula>
    </cfRule>
  </conditionalFormatting>
  <conditionalFormatting sqref="A98">
    <cfRule type="expression" dxfId="3085" priority="332">
      <formula>$AH98=0</formula>
    </cfRule>
  </conditionalFormatting>
  <conditionalFormatting sqref="A18">
    <cfRule type="expression" dxfId="3084" priority="331">
      <formula>$AH18=0</formula>
    </cfRule>
  </conditionalFormatting>
  <conditionalFormatting sqref="A196:A201">
    <cfRule type="expression" dxfId="3083" priority="330">
      <formula>$AH196=0</formula>
    </cfRule>
  </conditionalFormatting>
  <conditionalFormatting sqref="A190:A195">
    <cfRule type="expression" dxfId="3082" priority="329">
      <formula>$AH190=0</formula>
    </cfRule>
  </conditionalFormatting>
  <conditionalFormatting sqref="A58">
    <cfRule type="expression" dxfId="3081" priority="328">
      <formula>$AH58=0</formula>
    </cfRule>
  </conditionalFormatting>
  <conditionalFormatting sqref="A94">
    <cfRule type="expression" dxfId="3080" priority="327">
      <formula>$AH94=0</formula>
    </cfRule>
  </conditionalFormatting>
  <conditionalFormatting sqref="E99:X99 AF99">
    <cfRule type="expression" dxfId="3079" priority="323">
      <formula>E$9&gt;=20/24</formula>
    </cfRule>
    <cfRule type="expression" dxfId="3078" priority="324">
      <formula>AND(E$9&gt;=14/24,E$9&lt;20/24)</formula>
    </cfRule>
    <cfRule type="expression" dxfId="3077" priority="325">
      <formula>AND(E$9&gt;=8/24,E$9&lt;14/24)</formula>
    </cfRule>
    <cfRule type="expression" dxfId="3076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075" priority="345">
      <formula>C$9&gt;=20/24</formula>
    </cfRule>
    <cfRule type="expression" dxfId="3074" priority="346">
      <formula>AND(C$9&gt;=14/24,C$9&lt;20/24)</formula>
    </cfRule>
    <cfRule type="expression" dxfId="3073" priority="347">
      <formula>AND(C$9&gt;=8/24,C$9&lt;14/24)</formula>
    </cfRule>
    <cfRule type="expression" dxfId="3072" priority="348">
      <formula>C$9&lt;8/24</formula>
    </cfRule>
  </conditionalFormatting>
  <conditionalFormatting sqref="A233">
    <cfRule type="expression" dxfId="3071" priority="349">
      <formula>$AH233=0</formula>
    </cfRule>
  </conditionalFormatting>
  <conditionalFormatting sqref="AG245">
    <cfRule type="expression" dxfId="3070" priority="350">
      <formula>B$9&gt;=20/24</formula>
    </cfRule>
    <cfRule type="expression" dxfId="3069" priority="351">
      <formula>AND(B$9&gt;=14/24,B$9&lt;20/24)</formula>
    </cfRule>
    <cfRule type="expression" dxfId="3068" priority="352">
      <formula>AND(B$9&gt;=8/24,B$9&lt;14/24)</formula>
    </cfRule>
    <cfRule type="expression" dxfId="3067" priority="353">
      <formula>B$9&lt;8/24</formula>
    </cfRule>
  </conditionalFormatting>
  <conditionalFormatting sqref="S8">
    <cfRule type="expression" dxfId="3066" priority="318">
      <formula>U$9&gt;=20/24</formula>
    </cfRule>
    <cfRule type="expression" dxfId="3065" priority="319">
      <formula>AND(U$9&gt;=14/24,U$9&lt;20/24)</formula>
    </cfRule>
    <cfRule type="expression" dxfId="3064" priority="320">
      <formula>AND(U$9&gt;=8/24,U$9&lt;14/24)</formula>
    </cfRule>
    <cfRule type="expression" dxfId="3063" priority="321">
      <formula>U$9&lt;8/24</formula>
    </cfRule>
  </conditionalFormatting>
  <conditionalFormatting sqref="AB8">
    <cfRule type="expression" dxfId="3062" priority="314">
      <formula>AD$9&gt;=20/24</formula>
    </cfRule>
    <cfRule type="expression" dxfId="3061" priority="315">
      <formula>AND(AD$9&gt;=14/24,AD$9&lt;20/24)</formula>
    </cfRule>
    <cfRule type="expression" dxfId="3060" priority="316">
      <formula>AND(AD$9&gt;=8/24,AD$9&lt;14/24)</formula>
    </cfRule>
    <cfRule type="expression" dxfId="3059" priority="317">
      <formula>AD$9&lt;8/24</formula>
    </cfRule>
  </conditionalFormatting>
  <conditionalFormatting sqref="AH245:AX245">
    <cfRule type="expression" dxfId="3058" priority="354">
      <formula>AG$9&gt;=20/24</formula>
    </cfRule>
    <cfRule type="expression" dxfId="3057" priority="355">
      <formula>AND(AG$9&gt;=14/24,AG$9&lt;20/24)</formula>
    </cfRule>
    <cfRule type="expression" dxfId="3056" priority="356">
      <formula>AND(AG$9&gt;=8/24,AG$9&lt;14/24)</formula>
    </cfRule>
    <cfRule type="expression" dxfId="3055" priority="357">
      <formula>AG$9&lt;8/24</formula>
    </cfRule>
  </conditionalFormatting>
  <conditionalFormatting sqref="T245">
    <cfRule type="expression" dxfId="3054" priority="358">
      <formula>AX$9&gt;=20/24</formula>
    </cfRule>
    <cfRule type="expression" dxfId="3053" priority="359">
      <formula>AND(AX$9&gt;=14/24,AX$9&lt;20/24)</formula>
    </cfRule>
    <cfRule type="expression" dxfId="3052" priority="360">
      <formula>AND(AX$9&gt;=8/24,AX$9&lt;14/24)</formula>
    </cfRule>
    <cfRule type="expression" dxfId="3051" priority="361">
      <formula>AX$9&lt;8/24</formula>
    </cfRule>
  </conditionalFormatting>
  <conditionalFormatting sqref="A115:A116">
    <cfRule type="expression" dxfId="3050" priority="313">
      <formula>$AH115=0</formula>
    </cfRule>
  </conditionalFormatting>
  <conditionalFormatting sqref="AF54:AF55 M54:Q54 N55:Q55 P56:S58 E71:AF71">
    <cfRule type="expression" dxfId="3049" priority="309">
      <formula>E$9&gt;=20/24</formula>
    </cfRule>
    <cfRule type="expression" dxfId="3048" priority="310">
      <formula>AND(E$9&gt;=14/24,E$9&lt;20/24)</formula>
    </cfRule>
    <cfRule type="expression" dxfId="3047" priority="311">
      <formula>AND(E$9&gt;=8/24,E$9&lt;14/24)</formula>
    </cfRule>
    <cfRule type="expression" dxfId="3046" priority="312">
      <formula>E$9&lt;8/24</formula>
    </cfRule>
  </conditionalFormatting>
  <conditionalFormatting sqref="M53:Q53 AF53">
    <cfRule type="expression" dxfId="3045" priority="305">
      <formula>M$9&gt;=20/24</formula>
    </cfRule>
    <cfRule type="expression" dxfId="3044" priority="306">
      <formula>AND(M$9&gt;=14/24,M$9&lt;20/24)</formula>
    </cfRule>
    <cfRule type="expression" dxfId="3043" priority="307">
      <formula>AND(M$9&gt;=8/24,M$9&lt;14/24)</formula>
    </cfRule>
    <cfRule type="expression" dxfId="3042" priority="308">
      <formula>M$9&lt;8/24</formula>
    </cfRule>
  </conditionalFormatting>
  <conditionalFormatting sqref="AF53:AF55 M53:Q54 N55:Q55 P56:S58">
    <cfRule type="expression" dxfId="3041" priority="304">
      <formula>M53&gt;$AG53</formula>
    </cfRule>
  </conditionalFormatting>
  <conditionalFormatting sqref="D86:AF86 M100:X106 X96:AF96 AF100:AF106 X47:AF47 E72:Z73 X67:AF69 AA72:AF74">
    <cfRule type="expression" dxfId="3040" priority="300">
      <formula>D$9&gt;=20/24</formula>
    </cfRule>
    <cfRule type="expression" dxfId="3039" priority="301">
      <formula>AND(D$9&gt;=14/24,D$9&lt;20/24)</formula>
    </cfRule>
    <cfRule type="expression" dxfId="3038" priority="302">
      <formula>AND(D$9&gt;=8/24,D$9&lt;14/24)</formula>
    </cfRule>
    <cfRule type="expression" dxfId="3037" priority="303">
      <formula>D$9&lt;8/24</formula>
    </cfRule>
  </conditionalFormatting>
  <conditionalFormatting sqref="X47:AF47 X67:AF69">
    <cfRule type="expression" dxfId="3036" priority="299">
      <formula>X47&gt;$AG47</formula>
    </cfRule>
  </conditionalFormatting>
  <conditionalFormatting sqref="R53:AA55 T56:AA58 AB53:AE58 AF56:AF58">
    <cfRule type="expression" dxfId="3035" priority="295">
      <formula>R$9&gt;=20/24</formula>
    </cfRule>
    <cfRule type="expression" dxfId="3034" priority="296">
      <formula>AND(R$9&gt;=14/24,R$9&lt;20/24)</formula>
    </cfRule>
    <cfRule type="expression" dxfId="3033" priority="297">
      <formula>AND(R$9&gt;=8/24,R$9&lt;14/24)</formula>
    </cfRule>
    <cfRule type="expression" dxfId="3032" priority="298">
      <formula>R$9&lt;8/24</formula>
    </cfRule>
  </conditionalFormatting>
  <conditionalFormatting sqref="R53:AA55 T56:AA58 AB53:AE58 AF56:AF58">
    <cfRule type="expression" dxfId="3031" priority="294">
      <formula>R53&gt;$AG53</formula>
    </cfRule>
  </conditionalFormatting>
  <conditionalFormatting sqref="C97:AF97 D88:AF88">
    <cfRule type="expression" dxfId="3030" priority="290">
      <formula>C$9&gt;=20/24</formula>
    </cfRule>
    <cfRule type="expression" dxfId="3029" priority="291">
      <formula>AND(C$9&gt;=14/24,C$9&lt;20/24)</formula>
    </cfRule>
    <cfRule type="expression" dxfId="3028" priority="292">
      <formula>AND(C$9&gt;=8/24,C$9&lt;14/24)</formula>
    </cfRule>
    <cfRule type="expression" dxfId="3027" priority="293">
      <formula>C$9&lt;8/24</formula>
    </cfRule>
  </conditionalFormatting>
  <conditionalFormatting sqref="T47:W47">
    <cfRule type="expression" dxfId="3026" priority="286">
      <formula>T$9&gt;=20/24</formula>
    </cfRule>
    <cfRule type="expression" dxfId="3025" priority="287">
      <formula>AND(T$9&gt;=14/24,T$9&lt;20/24)</formula>
    </cfRule>
    <cfRule type="expression" dxfId="3024" priority="288">
      <formula>AND(T$9&gt;=8/24,T$9&lt;14/24)</formula>
    </cfRule>
    <cfRule type="expression" dxfId="3023" priority="289">
      <formula>T$9&lt;8/24</formula>
    </cfRule>
  </conditionalFormatting>
  <conditionalFormatting sqref="T47:W47">
    <cfRule type="expression" dxfId="3022" priority="285">
      <formula>T47&gt;$AG47</formula>
    </cfRule>
  </conditionalFormatting>
  <conditionalFormatting sqref="E54:L55 M55">
    <cfRule type="expression" dxfId="3021" priority="281">
      <formula>E$9&gt;=20/24</formula>
    </cfRule>
    <cfRule type="expression" dxfId="3020" priority="282">
      <formula>AND(E$9&gt;=14/24,E$9&lt;20/24)</formula>
    </cfRule>
    <cfRule type="expression" dxfId="3019" priority="283">
      <formula>AND(E$9&gt;=8/24,E$9&lt;14/24)</formula>
    </cfRule>
    <cfRule type="expression" dxfId="3018" priority="284">
      <formula>E$9&lt;8/24</formula>
    </cfRule>
  </conditionalFormatting>
  <conditionalFormatting sqref="E53:L53">
    <cfRule type="expression" dxfId="3017" priority="277">
      <formula>E$9&gt;=20/24</formula>
    </cfRule>
    <cfRule type="expression" dxfId="3016" priority="278">
      <formula>AND(E$9&gt;=14/24,E$9&lt;20/24)</formula>
    </cfRule>
    <cfRule type="expression" dxfId="3015" priority="279">
      <formula>AND(E$9&gt;=8/24,E$9&lt;14/24)</formula>
    </cfRule>
    <cfRule type="expression" dxfId="3014" priority="280">
      <formula>E$9&lt;8/24</formula>
    </cfRule>
  </conditionalFormatting>
  <conditionalFormatting sqref="E53:L55 M55">
    <cfRule type="expression" dxfId="3013" priority="276">
      <formula>E53&gt;$AG53</formula>
    </cfRule>
  </conditionalFormatting>
  <conditionalFormatting sqref="AG70 AG87 E100:L106 Q67:W69">
    <cfRule type="expression" dxfId="3012" priority="272">
      <formula>E$9&gt;=20/24</formula>
    </cfRule>
    <cfRule type="expression" dxfId="3011" priority="273">
      <formula>AND(E$9&gt;=14/24,E$9&lt;20/24)</formula>
    </cfRule>
    <cfRule type="expression" dxfId="3010" priority="274">
      <formula>AND(E$9&gt;=8/24,E$9&lt;14/24)</formula>
    </cfRule>
    <cfRule type="expression" dxfId="3009" priority="275">
      <formula>E$9&lt;8/24</formula>
    </cfRule>
  </conditionalFormatting>
  <conditionalFormatting sqref="AG48 AG66 AG70 Q67:W69">
    <cfRule type="expression" dxfId="3008" priority="271">
      <formula>Q48&gt;$AG48</formula>
    </cfRule>
  </conditionalFormatting>
  <conditionalFormatting sqref="A43">
    <cfRule type="expression" dxfId="3007" priority="265">
      <formula>$AH43=0</formula>
    </cfRule>
  </conditionalFormatting>
  <conditionalFormatting sqref="X91:AF95">
    <cfRule type="expression" dxfId="3006" priority="261">
      <formula>X$9&gt;=20/24</formula>
    </cfRule>
    <cfRule type="expression" dxfId="3005" priority="262">
      <formula>AND(X$9&gt;=14/24,X$9&lt;20/24)</formula>
    </cfRule>
    <cfRule type="expression" dxfId="3004" priority="263">
      <formula>AND(X$9&gt;=8/24,X$9&lt;14/24)</formula>
    </cfRule>
    <cfRule type="expression" dxfId="3003" priority="264">
      <formula>X$9&lt;8/24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F49:AF51">
    <cfRule type="expression" dxfId="3002" priority="257">
      <formula>F$9&gt;=20/24</formula>
    </cfRule>
    <cfRule type="expression" dxfId="3001" priority="258">
      <formula>AND(F$9&gt;=14/24,F$9&lt;20/24)</formula>
    </cfRule>
    <cfRule type="expression" dxfId="3000" priority="259">
      <formula>AND(F$9&gt;=8/24,F$9&lt;14/24)</formula>
    </cfRule>
    <cfRule type="expression" dxfId="2999" priority="260">
      <formula>F$9&lt;8/24</formula>
    </cfRule>
  </conditionalFormatting>
  <conditionalFormatting sqref="F49:AF51">
    <cfRule type="expression" dxfId="2998" priority="256">
      <formula>F49&gt;$AG49</formula>
    </cfRule>
  </conditionalFormatting>
  <conditionalFormatting sqref="AG52">
    <cfRule type="expression" dxfId="2997" priority="252">
      <formula>AG$9&gt;=20/24</formula>
    </cfRule>
    <cfRule type="expression" dxfId="2996" priority="253">
      <formula>AND(AG$9&gt;=14/24,AG$9&lt;20/24)</formula>
    </cfRule>
    <cfRule type="expression" dxfId="2995" priority="254">
      <formula>AND(AG$9&gt;=8/24,AG$9&lt;14/24)</formula>
    </cfRule>
    <cfRule type="expression" dxfId="2994" priority="255">
      <formula>AG$9&lt;8/24</formula>
    </cfRule>
  </conditionalFormatting>
  <conditionalFormatting sqref="AG52">
    <cfRule type="expression" dxfId="2993" priority="251">
      <formula>AG52&gt;$AG52</formula>
    </cfRule>
  </conditionalFormatting>
  <conditionalFormatting sqref="C107:AF107">
    <cfRule type="expression" dxfId="2992" priority="247">
      <formula>C$9&gt;=20/24</formula>
    </cfRule>
    <cfRule type="expression" dxfId="2991" priority="248">
      <formula>AND(C$9&gt;=14/24,C$9&lt;20/24)</formula>
    </cfRule>
    <cfRule type="expression" dxfId="2990" priority="249">
      <formula>AND(C$9&gt;=8/24,C$9&lt;14/24)</formula>
    </cfRule>
    <cfRule type="expression" dxfId="2989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2988" priority="245">
      <formula>$AH40=0</formula>
    </cfRule>
  </conditionalFormatting>
  <conditionalFormatting sqref="A90">
    <cfRule type="expression" dxfId="2987" priority="243">
      <formula>$AH90=0</formula>
    </cfRule>
  </conditionalFormatting>
  <conditionalFormatting sqref="A87">
    <cfRule type="expression" dxfId="2986" priority="244">
      <formula>$AH87=0</formula>
    </cfRule>
  </conditionalFormatting>
  <conditionalFormatting sqref="D110:AF110">
    <cfRule type="expression" dxfId="2985" priority="239">
      <formula>D$9&gt;=20/24</formula>
    </cfRule>
    <cfRule type="expression" dxfId="2984" priority="240">
      <formula>AND(D$9&gt;=14/24,D$9&lt;20/24)</formula>
    </cfRule>
    <cfRule type="expression" dxfId="2983" priority="241">
      <formula>AND(D$9&gt;=8/24,D$9&lt;14/24)</formula>
    </cfRule>
    <cfRule type="expression" dxfId="2982" priority="242">
      <formula>D$9&lt;8/24</formula>
    </cfRule>
  </conditionalFormatting>
  <conditionalFormatting sqref="A110">
    <cfRule type="expression" dxfId="2981" priority="238">
      <formula>$AH110=0</formula>
    </cfRule>
  </conditionalFormatting>
  <conditionalFormatting sqref="A21">
    <cfRule type="expression" dxfId="2980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979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E99">
    <cfRule type="expression" dxfId="2978" priority="230">
      <formula>Y$9&gt;=20/24</formula>
    </cfRule>
    <cfRule type="expression" dxfId="2977" priority="231">
      <formula>AND(Y$9&gt;=14/24,Y$9&lt;20/24)</formula>
    </cfRule>
    <cfRule type="expression" dxfId="2976" priority="232">
      <formula>AND(Y$9&gt;=8/24,Y$9&lt;14/24)</formula>
    </cfRule>
    <cfRule type="expression" dxfId="2975" priority="233">
      <formula>Y$9&lt;8/24</formula>
    </cfRule>
  </conditionalFormatting>
  <conditionalFormatting sqref="Y100:AE106">
    <cfRule type="expression" dxfId="2974" priority="226">
      <formula>Y$9&gt;=20/24</formula>
    </cfRule>
    <cfRule type="expression" dxfId="2973" priority="227">
      <formula>AND(Y$9&gt;=14/24,Y$9&lt;20/24)</formula>
    </cfRule>
    <cfRule type="expression" dxfId="2972" priority="228">
      <formula>AND(Y$9&gt;=8/24,Y$9&lt;14/24)</formula>
    </cfRule>
    <cfRule type="expression" dxfId="2971" priority="229">
      <formula>Y$9&lt;8/24</formula>
    </cfRule>
  </conditionalFormatting>
  <conditionalFormatting sqref="C109 C111:C116 AA34:AF43 AA17:AF32">
    <cfRule type="expression" dxfId="2970" priority="222">
      <formula>C$9&gt;=20/24</formula>
    </cfRule>
    <cfRule type="expression" dxfId="2969" priority="223">
      <formula>AND(C$9&gt;=14/24,C$9&lt;20/24)</formula>
    </cfRule>
    <cfRule type="expression" dxfId="2968" priority="224">
      <formula>AND(C$9&gt;=8/24,C$9&lt;14/24)</formula>
    </cfRule>
    <cfRule type="expression" dxfId="2967" priority="225">
      <formula>C$9&lt;8/24</formula>
    </cfRule>
  </conditionalFormatting>
  <conditionalFormatting sqref="C47:S47">
    <cfRule type="expression" dxfId="2966" priority="218">
      <formula>C$9&gt;=20/24</formula>
    </cfRule>
    <cfRule type="expression" dxfId="2965" priority="219">
      <formula>AND(C$9&gt;=14/24,C$9&lt;20/24)</formula>
    </cfRule>
    <cfRule type="expression" dxfId="2964" priority="220">
      <formula>AND(C$9&gt;=8/24,C$9&lt;14/24)</formula>
    </cfRule>
    <cfRule type="expression" dxfId="2963" priority="221">
      <formula>C$9&lt;8/24</formula>
    </cfRule>
  </conditionalFormatting>
  <conditionalFormatting sqref="C47:S47 AA34:AF43 AA17:AF32">
    <cfRule type="expression" dxfId="2962" priority="217">
      <formula>C17&gt;$AG17</formula>
    </cfRule>
  </conditionalFormatting>
  <conditionalFormatting sqref="C99:D99">
    <cfRule type="expression" dxfId="2961" priority="213">
      <formula>C$9&gt;=20/24</formula>
    </cfRule>
    <cfRule type="expression" dxfId="2960" priority="214">
      <formula>AND(C$9&gt;=14/24,C$9&lt;20/24)</formula>
    </cfRule>
    <cfRule type="expression" dxfId="2959" priority="215">
      <formula>AND(C$9&gt;=8/24,C$9&lt;14/24)</formula>
    </cfRule>
    <cfRule type="expression" dxfId="2958" priority="216">
      <formula>C$9&lt;8/24</formula>
    </cfRule>
  </conditionalFormatting>
  <conditionalFormatting sqref="C86 C96:W96 C83:AF85 D100:D106 E67:P69 E74:Z76 AA75:AF76">
    <cfRule type="expression" dxfId="2957" priority="209">
      <formula>C$9&gt;=20/24</formula>
    </cfRule>
    <cfRule type="expression" dxfId="2956" priority="210">
      <formula>AND(C$9&gt;=14/24,C$9&lt;20/24)</formula>
    </cfRule>
    <cfRule type="expression" dxfId="2955" priority="211">
      <formula>AND(C$9&gt;=8/24,C$9&lt;14/24)</formula>
    </cfRule>
    <cfRule type="expression" dxfId="2954" priority="212">
      <formula>C$9&lt;8/24</formula>
    </cfRule>
  </conditionalFormatting>
  <conditionalFormatting sqref="E56:O57 E67:P69">
    <cfRule type="expression" dxfId="2953" priority="208">
      <formula>E56&gt;$AG56</formula>
    </cfRule>
  </conditionalFormatting>
  <conditionalFormatting sqref="E58:O58">
    <cfRule type="expression" dxfId="2952" priority="204">
      <formula>E$9&gt;=20/24</formula>
    </cfRule>
    <cfRule type="expression" dxfId="2951" priority="205">
      <formula>AND(E$9&gt;=14/24,E$9&lt;20/24)</formula>
    </cfRule>
    <cfRule type="expression" dxfId="2950" priority="206">
      <formula>AND(E$9&gt;=8/24,E$9&lt;14/24)</formula>
    </cfRule>
    <cfRule type="expression" dxfId="2949" priority="207">
      <formula>E$9&lt;8/24</formula>
    </cfRule>
  </conditionalFormatting>
  <conditionalFormatting sqref="E58:O58">
    <cfRule type="expression" dxfId="2948" priority="203">
      <formula>E58&gt;$AG58</formula>
    </cfRule>
  </conditionalFormatting>
  <conditionalFormatting sqref="B71:D71 B54:D57">
    <cfRule type="expression" dxfId="2947" priority="132">
      <formula>B$9&gt;=20/24</formula>
    </cfRule>
    <cfRule type="expression" dxfId="2946" priority="133">
      <formula>AND(B$9&gt;=14/24,B$9&lt;20/24)</formula>
    </cfRule>
    <cfRule type="expression" dxfId="2945" priority="134">
      <formula>AND(B$9&gt;=8/24,B$9&lt;14/24)</formula>
    </cfRule>
    <cfRule type="expression" dxfId="2944" priority="135">
      <formula>B$9&lt;8/24</formula>
    </cfRule>
  </conditionalFormatting>
  <conditionalFormatting sqref="C87:AF87 C89:AF89 C98:AF98 C70:AF70">
    <cfRule type="expression" dxfId="2943" priority="199">
      <formula>C$9&gt;=20/24</formula>
    </cfRule>
    <cfRule type="expression" dxfId="2942" priority="200">
      <formula>AND(C$9&gt;=14/24,C$9&lt;20/24)</formula>
    </cfRule>
    <cfRule type="expression" dxfId="2941" priority="201">
      <formula>AND(C$9&gt;=8/24,C$9&lt;14/24)</formula>
    </cfRule>
    <cfRule type="expression" dxfId="2940" priority="202">
      <formula>C$9&lt;8/24</formula>
    </cfRule>
  </conditionalFormatting>
  <conditionalFormatting sqref="C70:AF70 C65:AF66">
    <cfRule type="expression" dxfId="2939" priority="198">
      <formula>C65&gt;$AG65</formula>
    </cfRule>
  </conditionalFormatting>
  <conditionalFormatting sqref="C82:AF82">
    <cfRule type="expression" dxfId="2938" priority="194">
      <formula>C$9&gt;=20/24</formula>
    </cfRule>
    <cfRule type="expression" dxfId="2937" priority="195">
      <formula>AND(C$9&gt;=14/24,C$9&lt;20/24)</formula>
    </cfRule>
    <cfRule type="expression" dxfId="2936" priority="196">
      <formula>AND(C$9&gt;=8/24,C$9&lt;14/24)</formula>
    </cfRule>
    <cfRule type="expression" dxfId="2935" priority="197">
      <formula>C$9&lt;8/24</formula>
    </cfRule>
  </conditionalFormatting>
  <conditionalFormatting sqref="C91:W95">
    <cfRule type="expression" dxfId="2934" priority="190">
      <formula>C$9&gt;=20/24</formula>
    </cfRule>
    <cfRule type="expression" dxfId="2933" priority="191">
      <formula>AND(C$9&gt;=14/24,C$9&lt;20/24)</formula>
    </cfRule>
    <cfRule type="expression" dxfId="2932" priority="192">
      <formula>AND(C$9&gt;=8/24,C$9&lt;14/24)</formula>
    </cfRule>
    <cfRule type="expression" dxfId="2931" priority="193">
      <formula>C$9&lt;8/24</formula>
    </cfRule>
  </conditionalFormatting>
  <conditionalFormatting sqref="C52:AF52">
    <cfRule type="expression" dxfId="2930" priority="186">
      <formula>C$9&gt;=20/24</formula>
    </cfRule>
    <cfRule type="expression" dxfId="2929" priority="187">
      <formula>AND(C$9&gt;=14/24,C$9&lt;20/24)</formula>
    </cfRule>
    <cfRule type="expression" dxfId="2928" priority="188">
      <formula>AND(C$9&gt;=8/24,C$9&lt;14/24)</formula>
    </cfRule>
    <cfRule type="expression" dxfId="2927" priority="189">
      <formula>C$9&lt;8/24</formula>
    </cfRule>
  </conditionalFormatting>
  <conditionalFormatting sqref="C52:AF52">
    <cfRule type="expression" dxfId="2926" priority="185">
      <formula>C52&gt;$AG52</formula>
    </cfRule>
  </conditionalFormatting>
  <conditionalFormatting sqref="B49:E51">
    <cfRule type="expression" dxfId="2925" priority="100">
      <formula>B$9&gt;=20/24</formula>
    </cfRule>
    <cfRule type="expression" dxfId="2924" priority="101">
      <formula>AND(B$9&gt;=14/24,B$9&lt;20/24)</formula>
    </cfRule>
    <cfRule type="expression" dxfId="2923" priority="102">
      <formula>AND(B$9&gt;=8/24,B$9&lt;14/24)</formula>
    </cfRule>
    <cfRule type="expression" dxfId="2922" priority="103">
      <formula>B$9&lt;8/24</formula>
    </cfRule>
  </conditionalFormatting>
  <conditionalFormatting sqref="C110">
    <cfRule type="expression" dxfId="2921" priority="177">
      <formula>C$9&gt;=20/24</formula>
    </cfRule>
    <cfRule type="expression" dxfId="2920" priority="178">
      <formula>AND(C$9&gt;=14/24,C$9&lt;20/24)</formula>
    </cfRule>
    <cfRule type="expression" dxfId="2919" priority="179">
      <formula>AND(C$9&gt;=8/24,C$9&lt;14/24)</formula>
    </cfRule>
    <cfRule type="expression" dxfId="2918" priority="180">
      <formula>C$9&lt;8/24</formula>
    </cfRule>
  </conditionalFormatting>
  <conditionalFormatting sqref="E59:AF64">
    <cfRule type="expression" dxfId="2917" priority="173">
      <formula>E$9&gt;=20/24</formula>
    </cfRule>
    <cfRule type="expression" dxfId="2916" priority="174">
      <formula>AND(E$9&gt;=14/24,E$9&lt;20/24)</formula>
    </cfRule>
    <cfRule type="expression" dxfId="2915" priority="175">
      <formula>AND(E$9&gt;=8/24,E$9&lt;14/24)</formula>
    </cfRule>
    <cfRule type="expression" dxfId="2914" priority="176">
      <formula>E$9&lt;8/24</formula>
    </cfRule>
  </conditionalFormatting>
  <conditionalFormatting sqref="E59:AF64">
    <cfRule type="expression" dxfId="2913" priority="172">
      <formula>E59&gt;$AG59</formula>
    </cfRule>
  </conditionalFormatting>
  <conditionalFormatting sqref="AA45:AF45 AA13:AF15">
    <cfRule type="expression" dxfId="2912" priority="171">
      <formula>AA13&gt;$AG13</formula>
    </cfRule>
  </conditionalFormatting>
  <conditionalFormatting sqref="E12:AF12">
    <cfRule type="expression" dxfId="2911" priority="167">
      <formula>E$9&gt;=20/24</formula>
    </cfRule>
    <cfRule type="expression" dxfId="2910" priority="168">
      <formula>AND(E$9&gt;=14/24,E$9&lt;20/24)</formula>
    </cfRule>
    <cfRule type="expression" dxfId="2909" priority="169">
      <formula>AND(E$9&gt;=8/24,E$9&lt;14/24)</formula>
    </cfRule>
    <cfRule type="expression" dxfId="2908" priority="170">
      <formula>E$9&lt;8/24</formula>
    </cfRule>
  </conditionalFormatting>
  <conditionalFormatting sqref="E12:AF12">
    <cfRule type="expression" dxfId="2907" priority="166">
      <formula>E12&gt;$AG12</formula>
    </cfRule>
  </conditionalFormatting>
  <conditionalFormatting sqref="AA13:AF15">
    <cfRule type="expression" dxfId="2906" priority="162">
      <formula>AA$9&gt;=20/24</formula>
    </cfRule>
    <cfRule type="expression" dxfId="2905" priority="163">
      <formula>AND(AA$9&gt;=14/24,AA$9&lt;20/24)</formula>
    </cfRule>
    <cfRule type="expression" dxfId="2904" priority="164">
      <formula>AND(AA$9&gt;=8/24,AA$9&lt;14/24)</formula>
    </cfRule>
    <cfRule type="expression" dxfId="2903" priority="165">
      <formula>AA$9&lt;8/24</formula>
    </cfRule>
  </conditionalFormatting>
  <conditionalFormatting sqref="AA45:AF45">
    <cfRule type="expression" dxfId="2902" priority="158">
      <formula>AA$9&gt;=20/24</formula>
    </cfRule>
    <cfRule type="expression" dxfId="2901" priority="159">
      <formula>AND(AA$9&gt;=14/24,AA$9&lt;20/24)</formula>
    </cfRule>
    <cfRule type="expression" dxfId="2900" priority="160">
      <formula>AND(AA$9&gt;=8/24,AA$9&lt;14/24)</formula>
    </cfRule>
    <cfRule type="expression" dxfId="2899" priority="161">
      <formula>AA$9&lt;8/24</formula>
    </cfRule>
  </conditionalFormatting>
  <conditionalFormatting sqref="E77:AF81">
    <cfRule type="expression" dxfId="2898" priority="154">
      <formula>E$9&gt;=20/24</formula>
    </cfRule>
    <cfRule type="expression" dxfId="2897" priority="155">
      <formula>AND(E$9&gt;=14/24,E$9&lt;20/24)</formula>
    </cfRule>
    <cfRule type="expression" dxfId="2896" priority="156">
      <formula>AND(E$9&gt;=8/24,E$9&lt;14/24)</formula>
    </cfRule>
    <cfRule type="expression" dxfId="2895" priority="157">
      <formula>E$9&lt;8/24</formula>
    </cfRule>
  </conditionalFormatting>
  <conditionalFormatting sqref="AL78:AN78 AL84:AN84 AN79:AN80">
    <cfRule type="expression" dxfId="2894" priority="150">
      <formula>AL$9&gt;=20/24</formula>
    </cfRule>
    <cfRule type="expression" dxfId="2893" priority="151">
      <formula>AND(AL$9&gt;=14/24,AL$9&lt;20/24)</formula>
    </cfRule>
    <cfRule type="expression" dxfId="2892" priority="152">
      <formula>AND(AL$9&gt;=8/24,AL$9&lt;14/24)</formula>
    </cfRule>
    <cfRule type="expression" dxfId="2891" priority="153">
      <formula>AL$9&lt;8/24</formula>
    </cfRule>
  </conditionalFormatting>
  <conditionalFormatting sqref="AN81:AN82">
    <cfRule type="expression" dxfId="2890" priority="146">
      <formula>AN$9&gt;=20/24</formula>
    </cfRule>
    <cfRule type="expression" dxfId="2889" priority="147">
      <formula>AND(AN$9&gt;=14/24,AN$9&lt;20/24)</formula>
    </cfRule>
    <cfRule type="expression" dxfId="2888" priority="148">
      <formula>AND(AN$9&gt;=8/24,AN$9&lt;14/24)</formula>
    </cfRule>
    <cfRule type="expression" dxfId="2887" priority="149">
      <formula>AN$9&lt;8/24</formula>
    </cfRule>
  </conditionalFormatting>
  <conditionalFormatting sqref="AL79:AM83">
    <cfRule type="expression" dxfId="2886" priority="363">
      <formula>AJ$9&gt;=20/24</formula>
    </cfRule>
    <cfRule type="expression" dxfId="2885" priority="364">
      <formula>AND(AJ$9&gt;=14/24,AJ$9&lt;20/24)</formula>
    </cfRule>
    <cfRule type="expression" dxfId="2884" priority="365">
      <formula>AND(AJ$9&gt;=8/24,AJ$9&lt;14/24)</formula>
    </cfRule>
    <cfRule type="expression" dxfId="2883" priority="366">
      <formula>AJ$9&lt;8/24</formula>
    </cfRule>
  </conditionalFormatting>
  <conditionalFormatting sqref="A117">
    <cfRule type="expression" dxfId="2882" priority="145">
      <formula>$AH117=0</formula>
    </cfRule>
  </conditionalFormatting>
  <conditionalFormatting sqref="B109 B111:B116 B12:D15 E13:Z15 B17:Z32 B34:Z43 B45:Z45">
    <cfRule type="expression" dxfId="2881" priority="141">
      <formula>B$9&gt;=20/24</formula>
    </cfRule>
    <cfRule type="expression" dxfId="2880" priority="142">
      <formula>AND(B$9&gt;=14/24,B$9&lt;20/24)</formula>
    </cfRule>
    <cfRule type="expression" dxfId="2879" priority="143">
      <formula>AND(B$9&gt;=8/24,B$9&lt;14/24)</formula>
    </cfRule>
    <cfRule type="expression" dxfId="2878" priority="144">
      <formula>B$9&lt;8/24</formula>
    </cfRule>
  </conditionalFormatting>
  <conditionalFormatting sqref="B12:D15 E13:Z15 B17:Z32 B34:Z43 B45:Z45">
    <cfRule type="expression" dxfId="2877" priority="140">
      <formula>B12&gt;$AG12</formula>
    </cfRule>
  </conditionalFormatting>
  <conditionalFormatting sqref="B99">
    <cfRule type="expression" dxfId="2876" priority="136">
      <formula>B$9&gt;=20/24</formula>
    </cfRule>
    <cfRule type="expression" dxfId="2875" priority="137">
      <formula>AND(B$9&gt;=14/24,B$9&lt;20/24)</formula>
    </cfRule>
    <cfRule type="expression" dxfId="2874" priority="138">
      <formula>AND(B$9&gt;=8/24,B$9&lt;14/24)</formula>
    </cfRule>
    <cfRule type="expression" dxfId="2873" priority="139">
      <formula>B$9&lt;8/24</formula>
    </cfRule>
  </conditionalFormatting>
  <conditionalFormatting sqref="B53:D53">
    <cfRule type="expression" dxfId="2872" priority="128">
      <formula>B$9&gt;=20/24</formula>
    </cfRule>
    <cfRule type="expression" dxfId="2871" priority="129">
      <formula>AND(B$9&gt;=14/24,B$9&lt;20/24)</formula>
    </cfRule>
    <cfRule type="expression" dxfId="2870" priority="130">
      <formula>AND(B$9&gt;=8/24,B$9&lt;14/24)</formula>
    </cfRule>
    <cfRule type="expression" dxfId="2869" priority="131">
      <formula>B$9&lt;8/24</formula>
    </cfRule>
  </conditionalFormatting>
  <conditionalFormatting sqref="B53:D57">
    <cfRule type="expression" dxfId="2868" priority="127">
      <formula>B53&gt;$AG53</formula>
    </cfRule>
  </conditionalFormatting>
  <conditionalFormatting sqref="B96 B86 B47 B72:D74 B100:C106 B67:D69">
    <cfRule type="expression" dxfId="2867" priority="123">
      <formula>B$9&gt;=20/24</formula>
    </cfRule>
    <cfRule type="expression" dxfId="2866" priority="124">
      <formula>AND(B$9&gt;=14/24,B$9&lt;20/24)</formula>
    </cfRule>
    <cfRule type="expression" dxfId="2865" priority="125">
      <formula>AND(B$9&gt;=8/24,B$9&lt;14/24)</formula>
    </cfRule>
    <cfRule type="expression" dxfId="2864" priority="126">
      <formula>B$9&lt;8/24</formula>
    </cfRule>
  </conditionalFormatting>
  <conditionalFormatting sqref="B47 B67:D69">
    <cfRule type="expression" dxfId="2863" priority="122">
      <formula>B47&gt;$AG47</formula>
    </cfRule>
  </conditionalFormatting>
  <conditionalFormatting sqref="B97 B88:C88">
    <cfRule type="expression" dxfId="2862" priority="118">
      <formula>B$9&gt;=20/24</formula>
    </cfRule>
    <cfRule type="expression" dxfId="2861" priority="119">
      <formula>AND(B$9&gt;=14/24,B$9&lt;20/24)</formula>
    </cfRule>
    <cfRule type="expression" dxfId="2860" priority="120">
      <formula>AND(B$9&gt;=8/24,B$9&lt;14/24)</formula>
    </cfRule>
    <cfRule type="expression" dxfId="2859" priority="121">
      <formula>B$9&lt;8/24</formula>
    </cfRule>
  </conditionalFormatting>
  <conditionalFormatting sqref="B46:AF46">
    <cfRule type="expression" dxfId="2858" priority="114">
      <formula>B$9&gt;=20/24</formula>
    </cfRule>
    <cfRule type="expression" dxfId="2857" priority="115">
      <formula>AND(B$9&gt;=14/24,B$9&lt;20/24)</formula>
    </cfRule>
    <cfRule type="expression" dxfId="2856" priority="116">
      <formula>AND(B$9&gt;=8/24,B$9&lt;14/24)</formula>
    </cfRule>
    <cfRule type="expression" dxfId="2855" priority="117">
      <formula>B$9&lt;8/24</formula>
    </cfRule>
  </conditionalFormatting>
  <conditionalFormatting sqref="B46:AF46">
    <cfRule type="expression" dxfId="2854" priority="113">
      <formula>B46&gt;$AG46</formula>
    </cfRule>
  </conditionalFormatting>
  <conditionalFormatting sqref="B58:D58">
    <cfRule type="expression" dxfId="2853" priority="109">
      <formula>B$9&gt;=20/24</formula>
    </cfRule>
    <cfRule type="expression" dxfId="2852" priority="110">
      <formula>AND(B$9&gt;=14/24,B$9&lt;20/24)</formula>
    </cfRule>
    <cfRule type="expression" dxfId="2851" priority="111">
      <formula>AND(B$9&gt;=8/24,B$9&lt;14/24)</formula>
    </cfRule>
    <cfRule type="expression" dxfId="2850" priority="112">
      <formula>B$9&lt;8/24</formula>
    </cfRule>
  </conditionalFormatting>
  <conditionalFormatting sqref="B58:D58">
    <cfRule type="expression" dxfId="2849" priority="108">
      <formula>B58&gt;$AG58</formula>
    </cfRule>
  </conditionalFormatting>
  <conditionalFormatting sqref="B91:B95">
    <cfRule type="expression" dxfId="2848" priority="104">
      <formula>B$9&gt;=20/24</formula>
    </cfRule>
    <cfRule type="expression" dxfId="2847" priority="105">
      <formula>AND(B$9&gt;=14/24,B$9&lt;20/24)</formula>
    </cfRule>
    <cfRule type="expression" dxfId="2846" priority="106">
      <formula>AND(B$9&gt;=8/24,B$9&lt;14/24)</formula>
    </cfRule>
    <cfRule type="expression" dxfId="2845" priority="107">
      <formula>B$9&lt;8/24</formula>
    </cfRule>
  </conditionalFormatting>
  <conditionalFormatting sqref="B49:E51">
    <cfRule type="expression" dxfId="2844" priority="99">
      <formula>B49&gt;$AG49</formula>
    </cfRule>
  </conditionalFormatting>
  <conditionalFormatting sqref="B107">
    <cfRule type="expression" dxfId="2843" priority="95">
      <formula>B$9&gt;=20/24</formula>
    </cfRule>
    <cfRule type="expression" dxfId="2842" priority="96">
      <formula>AND(B$9&gt;=14/24,B$9&lt;20/24)</formula>
    </cfRule>
    <cfRule type="expression" dxfId="2841" priority="97">
      <formula>AND(B$9&gt;=8/24,B$9&lt;14/24)</formula>
    </cfRule>
    <cfRule type="expression" dxfId="2840" priority="98">
      <formula>B$9&lt;8/24</formula>
    </cfRule>
  </conditionalFormatting>
  <conditionalFormatting sqref="B110">
    <cfRule type="expression" dxfId="2839" priority="91">
      <formula>B$9&gt;=20/24</formula>
    </cfRule>
    <cfRule type="expression" dxfId="2838" priority="92">
      <formula>AND(B$9&gt;=14/24,B$9&lt;20/24)</formula>
    </cfRule>
    <cfRule type="expression" dxfId="2837" priority="93">
      <formula>AND(B$9&gt;=8/24,B$9&lt;14/24)</formula>
    </cfRule>
    <cfRule type="expression" dxfId="2836" priority="94">
      <formula>B$9&lt;8/24</formula>
    </cfRule>
  </conditionalFormatting>
  <conditionalFormatting sqref="B83:B85 B75:D76">
    <cfRule type="expression" dxfId="2835" priority="87">
      <formula>B$9&gt;=20/24</formula>
    </cfRule>
    <cfRule type="expression" dxfId="2834" priority="88">
      <formula>AND(B$9&gt;=14/24,B$9&lt;20/24)</formula>
    </cfRule>
    <cfRule type="expression" dxfId="2833" priority="89">
      <formula>AND(B$9&gt;=8/24,B$9&lt;14/24)</formula>
    </cfRule>
    <cfRule type="expression" dxfId="2832" priority="90">
      <formula>B$9&lt;8/24</formula>
    </cfRule>
  </conditionalFormatting>
  <conditionalFormatting sqref="B89 B98 B70 B87">
    <cfRule type="expression" dxfId="2831" priority="83">
      <formula>B$9&gt;=20/24</formula>
    </cfRule>
    <cfRule type="expression" dxfId="2830" priority="84">
      <formula>AND(B$9&gt;=14/24,B$9&lt;20/24)</formula>
    </cfRule>
    <cfRule type="expression" dxfId="2829" priority="85">
      <formula>AND(B$9&gt;=8/24,B$9&lt;14/24)</formula>
    </cfRule>
    <cfRule type="expression" dxfId="2828" priority="86">
      <formula>B$9&lt;8/24</formula>
    </cfRule>
  </conditionalFormatting>
  <conditionalFormatting sqref="B65:B66 B70 B48:AF48">
    <cfRule type="expression" dxfId="2827" priority="82">
      <formula>B48&gt;$AG48</formula>
    </cfRule>
  </conditionalFormatting>
  <conditionalFormatting sqref="B82">
    <cfRule type="expression" dxfId="2826" priority="78">
      <formula>B$9&gt;=20/24</formula>
    </cfRule>
    <cfRule type="expression" dxfId="2825" priority="79">
      <formula>AND(B$9&gt;=14/24,B$9&lt;20/24)</formula>
    </cfRule>
    <cfRule type="expression" dxfId="2824" priority="80">
      <formula>AND(B$9&gt;=8/24,B$9&lt;14/24)</formula>
    </cfRule>
    <cfRule type="expression" dxfId="2823" priority="81">
      <formula>B$9&lt;8/24</formula>
    </cfRule>
  </conditionalFormatting>
  <conditionalFormatting sqref="B52">
    <cfRule type="expression" dxfId="2822" priority="74">
      <formula>B$9&gt;=20/24</formula>
    </cfRule>
    <cfRule type="expression" dxfId="2821" priority="75">
      <formula>AND(B$9&gt;=14/24,B$9&lt;20/24)</formula>
    </cfRule>
    <cfRule type="expression" dxfId="2820" priority="76">
      <formula>AND(B$9&gt;=8/24,B$9&lt;14/24)</formula>
    </cfRule>
    <cfRule type="expression" dxfId="2819" priority="77">
      <formula>B$9&lt;8/24</formula>
    </cfRule>
  </conditionalFormatting>
  <conditionalFormatting sqref="B52">
    <cfRule type="expression" dxfId="2818" priority="73">
      <formula>B52&gt;$AG52</formula>
    </cfRule>
  </conditionalFormatting>
  <conditionalFormatting sqref="B59:D64">
    <cfRule type="expression" dxfId="2817" priority="65">
      <formula>B$9&gt;=20/24</formula>
    </cfRule>
    <cfRule type="expression" dxfId="2816" priority="66">
      <formula>AND(B$9&gt;=14/24,B$9&lt;20/24)</formula>
    </cfRule>
    <cfRule type="expression" dxfId="2815" priority="67">
      <formula>AND(B$9&gt;=8/24,B$9&lt;14/24)</formula>
    </cfRule>
    <cfRule type="expression" dxfId="2814" priority="68">
      <formula>B$9&lt;8/24</formula>
    </cfRule>
  </conditionalFormatting>
  <conditionalFormatting sqref="B59:D64">
    <cfRule type="expression" dxfId="2813" priority="64">
      <formula>B59&gt;$AG59</formula>
    </cfRule>
  </conditionalFormatting>
  <conditionalFormatting sqref="B77:D81">
    <cfRule type="expression" dxfId="2812" priority="60">
      <formula>B$9&gt;=20/24</formula>
    </cfRule>
    <cfRule type="expression" dxfId="2811" priority="61">
      <formula>AND(B$9&gt;=14/24,B$9&lt;20/24)</formula>
    </cfRule>
    <cfRule type="expression" dxfId="2810" priority="62">
      <formula>AND(B$9&gt;=8/24,B$9&lt;14/24)</formula>
    </cfRule>
    <cfRule type="expression" dxfId="2809" priority="63">
      <formula>B$9&lt;8/24</formula>
    </cfRule>
  </conditionalFormatting>
  <conditionalFormatting sqref="A11">
    <cfRule type="expression" dxfId="2808" priority="59">
      <formula>$AH11=0</formula>
    </cfRule>
  </conditionalFormatting>
  <conditionalFormatting sqref="AA11:AF11">
    <cfRule type="expression" dxfId="2807" priority="55">
      <formula>AA$9&gt;=20/24</formula>
    </cfRule>
    <cfRule type="expression" dxfId="2806" priority="56">
      <formula>AND(AA$9&gt;=14/24,AA$9&lt;20/24)</formula>
    </cfRule>
    <cfRule type="expression" dxfId="2805" priority="57">
      <formula>AND(AA$9&gt;=8/24,AA$9&lt;14/24)</formula>
    </cfRule>
    <cfRule type="expression" dxfId="2804" priority="58">
      <formula>AA$9&lt;8/24</formula>
    </cfRule>
  </conditionalFormatting>
  <conditionalFormatting sqref="AA11:AF11">
    <cfRule type="expression" dxfId="2803" priority="54">
      <formula>AA11&gt;$AG11</formula>
    </cfRule>
  </conditionalFormatting>
  <conditionalFormatting sqref="B11:Z11">
    <cfRule type="expression" dxfId="2802" priority="50">
      <formula>B$9&gt;=20/24</formula>
    </cfRule>
    <cfRule type="expression" dxfId="2801" priority="51">
      <formula>AND(B$9&gt;=14/24,B$9&lt;20/24)</formula>
    </cfRule>
    <cfRule type="expression" dxfId="2800" priority="52">
      <formula>AND(B$9&gt;=8/24,B$9&lt;14/24)</formula>
    </cfRule>
    <cfRule type="expression" dxfId="2799" priority="53">
      <formula>B$9&lt;8/24</formula>
    </cfRule>
  </conditionalFormatting>
  <conditionalFormatting sqref="B11:Z11">
    <cfRule type="expression" dxfId="2798" priority="49">
      <formula>B11&gt;$AG11</formula>
    </cfRule>
  </conditionalFormatting>
  <conditionalFormatting sqref="A16">
    <cfRule type="expression" dxfId="2797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A16:AF16">
    <cfRule type="expression" dxfId="2796" priority="43">
      <formula>AA$9&gt;=20/24</formula>
    </cfRule>
    <cfRule type="expression" dxfId="2795" priority="44">
      <formula>AND(AA$9&gt;=14/24,AA$9&lt;20/24)</formula>
    </cfRule>
    <cfRule type="expression" dxfId="2794" priority="45">
      <formula>AND(AA$9&gt;=8/24,AA$9&lt;14/24)</formula>
    </cfRule>
    <cfRule type="expression" dxfId="2793" priority="46">
      <formula>AA$9&lt;8/24</formula>
    </cfRule>
  </conditionalFormatting>
  <conditionalFormatting sqref="AA16:AF16">
    <cfRule type="expression" dxfId="2792" priority="42">
      <formula>AA16&gt;$AG16</formula>
    </cfRule>
  </conditionalFormatting>
  <conditionalFormatting sqref="B16:Z16">
    <cfRule type="expression" dxfId="2791" priority="38">
      <formula>B$9&gt;=20/24</formula>
    </cfRule>
    <cfRule type="expression" dxfId="2790" priority="39">
      <formula>AND(B$9&gt;=14/24,B$9&lt;20/24)</formula>
    </cfRule>
    <cfRule type="expression" dxfId="2789" priority="40">
      <formula>AND(B$9&gt;=8/24,B$9&lt;14/24)</formula>
    </cfRule>
    <cfRule type="expression" dxfId="2788" priority="41">
      <formula>B$9&lt;8/24</formula>
    </cfRule>
  </conditionalFormatting>
  <conditionalFormatting sqref="B16:Z16">
    <cfRule type="expression" dxfId="2787" priority="37">
      <formula>B16&gt;$AG16</formula>
    </cfRule>
  </conditionalFormatting>
  <conditionalFormatting sqref="A33">
    <cfRule type="expression" dxfId="2786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AA33:AF33">
    <cfRule type="expression" dxfId="2785" priority="31">
      <formula>AA$9&gt;=20/24</formula>
    </cfRule>
    <cfRule type="expression" dxfId="2784" priority="32">
      <formula>AND(AA$9&gt;=14/24,AA$9&lt;20/24)</formula>
    </cfRule>
    <cfRule type="expression" dxfId="2783" priority="33">
      <formula>AND(AA$9&gt;=8/24,AA$9&lt;14/24)</formula>
    </cfRule>
    <cfRule type="expression" dxfId="2782" priority="34">
      <formula>AA$9&lt;8/24</formula>
    </cfRule>
  </conditionalFormatting>
  <conditionalFormatting sqref="AA33:AF33">
    <cfRule type="expression" dxfId="2781" priority="30">
      <formula>AA33&gt;$AG33</formula>
    </cfRule>
  </conditionalFormatting>
  <conditionalFormatting sqref="B33:Z33">
    <cfRule type="expression" dxfId="2780" priority="26">
      <formula>B$9&gt;=20/24</formula>
    </cfRule>
    <cfRule type="expression" dxfId="2779" priority="27">
      <formula>AND(B$9&gt;=14/24,B$9&lt;20/24)</formula>
    </cfRule>
    <cfRule type="expression" dxfId="2778" priority="28">
      <formula>AND(B$9&gt;=8/24,B$9&lt;14/24)</formula>
    </cfRule>
    <cfRule type="expression" dxfId="2777" priority="29">
      <formula>B$9&lt;8/24</formula>
    </cfRule>
  </conditionalFormatting>
  <conditionalFormatting sqref="B33:Z33">
    <cfRule type="expression" dxfId="2776" priority="25">
      <formula>B33&gt;$AG33</formula>
    </cfRule>
  </conditionalFormatting>
  <conditionalFormatting sqref="A44">
    <cfRule type="expression" dxfId="2775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AA44:AF44">
    <cfRule type="expression" dxfId="2774" priority="22">
      <formula>AA44&gt;$AG44</formula>
    </cfRule>
  </conditionalFormatting>
  <conditionalFormatting sqref="AA44:AF44">
    <cfRule type="expression" dxfId="2773" priority="18">
      <formula>AA$9&gt;=20/24</formula>
    </cfRule>
    <cfRule type="expression" dxfId="2772" priority="19">
      <formula>AND(AA$9&gt;=14/24,AA$9&lt;20/24)</formula>
    </cfRule>
    <cfRule type="expression" dxfId="2771" priority="20">
      <formula>AND(AA$9&gt;=8/24,AA$9&lt;14/24)</formula>
    </cfRule>
    <cfRule type="expression" dxfId="2770" priority="21">
      <formula>AA$9&lt;8/24</formula>
    </cfRule>
  </conditionalFormatting>
  <conditionalFormatting sqref="B44:Z44">
    <cfRule type="expression" dxfId="2769" priority="14">
      <formula>B$9&gt;=20/24</formula>
    </cfRule>
    <cfRule type="expression" dxfId="2768" priority="15">
      <formula>AND(B$9&gt;=14/24,B$9&lt;20/24)</formula>
    </cfRule>
    <cfRule type="expression" dxfId="2767" priority="16">
      <formula>AND(B$9&gt;=8/24,B$9&lt;14/24)</formula>
    </cfRule>
    <cfRule type="expression" dxfId="2766" priority="17">
      <formula>B$9&lt;8/24</formula>
    </cfRule>
  </conditionalFormatting>
  <conditionalFormatting sqref="B44:Z44">
    <cfRule type="expression" dxfId="2765" priority="13">
      <formula>B44&gt;$AG44</formula>
    </cfRule>
  </conditionalFormatting>
  <conditionalFormatting sqref="B117">
    <cfRule type="expression" dxfId="2764" priority="1">
      <formula>B$9&gt;=20/24</formula>
    </cfRule>
    <cfRule type="expression" dxfId="2763" priority="2">
      <formula>AND(B$9&gt;=14/24,B$9&lt;20/24)</formula>
    </cfRule>
    <cfRule type="expression" dxfId="2762" priority="3">
      <formula>AND(B$9&gt;=8/24,B$9&lt;14/24)</formula>
    </cfRule>
    <cfRule type="expression" dxfId="2761" priority="4">
      <formula>B$9&lt;8/24</formula>
    </cfRule>
  </conditionalFormatting>
  <conditionalFormatting sqref="D117:AF117">
    <cfRule type="expression" dxfId="2760" priority="9">
      <formula>D$9&gt;=20/24</formula>
    </cfRule>
    <cfRule type="expression" dxfId="2759" priority="10">
      <formula>AND(D$9&gt;=14/24,D$9&lt;20/24)</formula>
    </cfRule>
    <cfRule type="expression" dxfId="2758" priority="11">
      <formula>AND(D$9&gt;=8/24,D$9&lt;14/24)</formula>
    </cfRule>
    <cfRule type="expression" dxfId="2757" priority="12">
      <formula>D$9&lt;8/24</formula>
    </cfRule>
  </conditionalFormatting>
  <conditionalFormatting sqref="C117">
    <cfRule type="expression" dxfId="2756" priority="5">
      <formula>C$9&gt;=20/24</formula>
    </cfRule>
    <cfRule type="expression" dxfId="2755" priority="6">
      <formula>AND(C$9&gt;=14/24,C$9&lt;20/24)</formula>
    </cfRule>
    <cfRule type="expression" dxfId="2754" priority="7">
      <formula>AND(C$9&gt;=8/24,C$9&lt;14/24)</formula>
    </cfRule>
    <cfRule type="expression" dxfId="2753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A1BBC1B3-63B3-4F2F-AC81-FEEF40B111D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1288BEB6-A762-4B8C-8D28-98A8A04A9FD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6C4F5FD4-3203-402A-AD18-4B992D63085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2BAC6A75-AB15-4135-B4CD-A1D8ACB9E94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3D6EAA17-57FB-41DF-9509-A39594AF540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CAE77C28-F962-4B33-B61A-693EB8BF64F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E6560A3E-FC9A-488C-8359-1EFD5B46BD6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72013F77-D42B-4A64-9CDA-1AF48BD0AC0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Normal="100" workbookViewId="0">
      <pane ySplit="10" topLeftCell="A11" activePane="bottomLeft" state="frozen"/>
      <selection activeCell="Z85" sqref="Z85"/>
      <selection pane="bottomLeft" activeCell="AD24" sqref="AD24:AF24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2079/12/21</v>
      </c>
      <c r="C4" s="236"/>
      <c r="D4" s="236"/>
      <c r="E4" s="237" t="str">
        <f ca="1">"2079/"&amp;"12/"&amp;INT(MID(CELL("filename",G6),FIND("]",CELL("filename",G6))+1,200))</f>
        <v>2079/12/21</v>
      </c>
      <c r="F4" s="237"/>
      <c r="G4" s="237"/>
      <c r="H4" s="237" t="str">
        <f ca="1">TEXT(E4,"dddd")</f>
        <v>Thursday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495.3</v>
      </c>
      <c r="C5" s="33">
        <f t="shared" si="0"/>
        <v>451.8</v>
      </c>
      <c r="D5" s="33">
        <f t="shared" si="0"/>
        <v>438</v>
      </c>
      <c r="E5" s="33">
        <f t="shared" si="0"/>
        <v>353.8</v>
      </c>
      <c r="F5" s="33">
        <f t="shared" si="0"/>
        <v>347.4</v>
      </c>
      <c r="G5" s="33">
        <f t="shared" si="0"/>
        <v>337.3</v>
      </c>
      <c r="H5" s="33">
        <f t="shared" si="0"/>
        <v>362.2</v>
      </c>
      <c r="I5" s="33">
        <f t="shared" si="0"/>
        <v>369.8</v>
      </c>
      <c r="J5" s="33">
        <f t="shared" si="0"/>
        <v>380.5</v>
      </c>
      <c r="K5" s="33">
        <f t="shared" si="0"/>
        <v>404</v>
      </c>
      <c r="L5" s="33">
        <f t="shared" si="0"/>
        <v>393.1</v>
      </c>
      <c r="M5" s="33">
        <f t="shared" si="0"/>
        <v>441.8</v>
      </c>
      <c r="N5" s="33">
        <f t="shared" si="0"/>
        <v>437.2</v>
      </c>
      <c r="O5" s="33">
        <f t="shared" si="0"/>
        <v>441.2</v>
      </c>
      <c r="P5" s="33">
        <f t="shared" si="0"/>
        <v>432.40000000000003</v>
      </c>
      <c r="Q5" s="33">
        <f t="shared" si="0"/>
        <v>413.2</v>
      </c>
      <c r="R5" s="33">
        <f t="shared" si="0"/>
        <v>380.5</v>
      </c>
      <c r="S5" s="33">
        <f t="shared" si="0"/>
        <v>369.4</v>
      </c>
      <c r="T5" s="33">
        <f t="shared" si="0"/>
        <v>384.2</v>
      </c>
      <c r="U5" s="33">
        <f t="shared" si="0"/>
        <v>367.8</v>
      </c>
      <c r="V5" s="33">
        <f t="shared" si="0"/>
        <v>401</v>
      </c>
      <c r="W5" s="33">
        <f t="shared" si="0"/>
        <v>352</v>
      </c>
      <c r="X5" s="33">
        <f t="shared" si="0"/>
        <v>339.3</v>
      </c>
      <c r="Y5" s="33">
        <f t="shared" si="0"/>
        <v>363.6</v>
      </c>
      <c r="Z5" s="33">
        <f t="shared" si="0"/>
        <v>360.4</v>
      </c>
      <c r="AA5" s="33">
        <f t="shared" si="0"/>
        <v>387.2</v>
      </c>
      <c r="AB5" s="33">
        <f t="shared" si="0"/>
        <v>385</v>
      </c>
      <c r="AC5" s="33">
        <f t="shared" si="0"/>
        <v>344</v>
      </c>
      <c r="AD5" s="33">
        <f t="shared" si="0"/>
        <v>393</v>
      </c>
      <c r="AE5" s="33">
        <f t="shared" si="0"/>
        <v>393</v>
      </c>
      <c r="AF5" s="33">
        <f>B82</f>
        <v>515.1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1403MW at 8:00hr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Load=1055</v>
      </c>
      <c r="B7" s="38">
        <f t="shared" ref="B7:AF7" si="1">B89</f>
        <v>1156.04</v>
      </c>
      <c r="C7" s="38">
        <f t="shared" si="1"/>
        <v>1135.74</v>
      </c>
      <c r="D7" s="38">
        <f t="shared" si="1"/>
        <v>1069.24</v>
      </c>
      <c r="E7" s="38">
        <f t="shared" si="1"/>
        <v>1055.24</v>
      </c>
      <c r="F7" s="38">
        <f t="shared" si="1"/>
        <v>1110.04</v>
      </c>
      <c r="G7" s="38">
        <f t="shared" si="1"/>
        <v>1191.44</v>
      </c>
      <c r="H7" s="38">
        <f t="shared" si="1"/>
        <v>1193.3399999999999</v>
      </c>
      <c r="I7" s="38">
        <f t="shared" si="1"/>
        <v>1241.8400000000001</v>
      </c>
      <c r="J7" s="38">
        <f t="shared" si="1"/>
        <v>1304.3399999999999</v>
      </c>
      <c r="K7" s="38">
        <f t="shared" si="1"/>
        <v>1342.44</v>
      </c>
      <c r="L7" s="38">
        <f t="shared" si="1"/>
        <v>1392.34</v>
      </c>
      <c r="M7" s="38">
        <f t="shared" si="1"/>
        <v>1402.94</v>
      </c>
      <c r="N7" s="38">
        <f>N89</f>
        <v>1347.64</v>
      </c>
      <c r="O7" s="38">
        <f t="shared" si="1"/>
        <v>1324.0400000000002</v>
      </c>
      <c r="P7" s="38">
        <f t="shared" si="1"/>
        <v>1334.44</v>
      </c>
      <c r="Q7" s="38">
        <f t="shared" si="1"/>
        <v>1331.8400000000001</v>
      </c>
      <c r="R7" s="38">
        <f t="shared" si="1"/>
        <v>1327.64</v>
      </c>
      <c r="S7" s="38">
        <f t="shared" si="1"/>
        <v>1302.8400000000001</v>
      </c>
      <c r="T7" s="38">
        <f t="shared" si="1"/>
        <v>1336.14</v>
      </c>
      <c r="U7" s="38">
        <f t="shared" si="1"/>
        <v>1319.3400000000001</v>
      </c>
      <c r="V7" s="38">
        <f t="shared" si="1"/>
        <v>1328.8400000000001</v>
      </c>
      <c r="W7" s="38">
        <f t="shared" si="1"/>
        <v>1341.0400000000002</v>
      </c>
      <c r="X7" s="38">
        <f t="shared" si="1"/>
        <v>1290.8400000000001</v>
      </c>
      <c r="Y7" s="38">
        <f t="shared" si="1"/>
        <v>1348.84</v>
      </c>
      <c r="Z7" s="38">
        <f t="shared" si="1"/>
        <v>1471.8400000000001</v>
      </c>
      <c r="AA7" s="38">
        <f t="shared" si="1"/>
        <v>1564.3400000000001</v>
      </c>
      <c r="AB7" s="38">
        <f t="shared" si="1"/>
        <v>1527.84</v>
      </c>
      <c r="AC7" s="38">
        <f t="shared" si="1"/>
        <v>1429.74</v>
      </c>
      <c r="AD7" s="38">
        <f t="shared" si="1"/>
        <v>1359.1399999999999</v>
      </c>
      <c r="AE7" s="38">
        <f t="shared" si="1"/>
        <v>1322.6399999999999</v>
      </c>
      <c r="AF7" s="38">
        <f t="shared" si="1"/>
        <v>1216.2399999999998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27</v>
      </c>
      <c r="C11" s="50">
        <v>27</v>
      </c>
      <c r="D11" s="50">
        <v>27</v>
      </c>
      <c r="E11" s="50">
        <v>27</v>
      </c>
      <c r="F11" s="50">
        <v>35</v>
      </c>
      <c r="G11" s="50">
        <v>35</v>
      </c>
      <c r="H11" s="50">
        <v>35</v>
      </c>
      <c r="I11" s="50">
        <v>35</v>
      </c>
      <c r="J11" s="50">
        <v>35</v>
      </c>
      <c r="K11" s="50">
        <v>35</v>
      </c>
      <c r="L11" s="50">
        <v>35</v>
      </c>
      <c r="M11" s="50">
        <v>35</v>
      </c>
      <c r="N11" s="50">
        <v>35</v>
      </c>
      <c r="O11" s="50">
        <v>35</v>
      </c>
      <c r="P11" s="50">
        <v>35</v>
      </c>
      <c r="Q11" s="50">
        <v>35</v>
      </c>
      <c r="R11" s="50">
        <v>35</v>
      </c>
      <c r="S11" s="50">
        <v>35</v>
      </c>
      <c r="T11" s="50">
        <v>35</v>
      </c>
      <c r="U11" s="50">
        <v>35</v>
      </c>
      <c r="V11" s="50">
        <v>35</v>
      </c>
      <c r="W11" s="50">
        <v>35</v>
      </c>
      <c r="X11" s="50">
        <v>35</v>
      </c>
      <c r="Y11" s="50">
        <v>40</v>
      </c>
      <c r="Z11" s="50">
        <v>40</v>
      </c>
      <c r="AA11" s="50">
        <v>40</v>
      </c>
      <c r="AB11" s="50">
        <v>40</v>
      </c>
      <c r="AC11" s="50">
        <v>40</v>
      </c>
      <c r="AD11" s="50">
        <v>40</v>
      </c>
      <c r="AE11" s="50">
        <v>40</v>
      </c>
      <c r="AF11" s="50">
        <v>40</v>
      </c>
      <c r="AG11" s="51">
        <v>86</v>
      </c>
      <c r="AH11" s="52">
        <f t="shared" ref="AH11:AH74" si="2">MAX(B11:AF11)</f>
        <v>40</v>
      </c>
      <c r="AI11" s="53">
        <f t="shared" ref="AI11:AI74" si="3">MIN(B11:AF11)</f>
        <v>27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16</v>
      </c>
      <c r="C12" s="50">
        <v>16</v>
      </c>
      <c r="D12" s="50">
        <v>16</v>
      </c>
      <c r="E12" s="50">
        <v>16</v>
      </c>
      <c r="F12" s="50">
        <v>18.5</v>
      </c>
      <c r="G12" s="50">
        <v>18.5</v>
      </c>
      <c r="H12" s="50">
        <v>18.5</v>
      </c>
      <c r="I12" s="50">
        <v>18.5</v>
      </c>
      <c r="J12" s="50">
        <v>18.5</v>
      </c>
      <c r="K12" s="50">
        <v>18.5</v>
      </c>
      <c r="L12" s="50">
        <v>18</v>
      </c>
      <c r="M12" s="50">
        <v>18</v>
      </c>
      <c r="N12" s="50">
        <v>18</v>
      </c>
      <c r="O12" s="50">
        <v>18</v>
      </c>
      <c r="P12" s="50">
        <v>18</v>
      </c>
      <c r="Q12" s="50">
        <v>18</v>
      </c>
      <c r="R12" s="50">
        <v>18</v>
      </c>
      <c r="S12" s="50">
        <v>18</v>
      </c>
      <c r="T12" s="50">
        <v>18</v>
      </c>
      <c r="U12" s="50">
        <v>18</v>
      </c>
      <c r="V12" s="50">
        <v>18</v>
      </c>
      <c r="W12" s="50">
        <v>18</v>
      </c>
      <c r="X12" s="50">
        <v>18</v>
      </c>
      <c r="Y12" s="50">
        <v>18</v>
      </c>
      <c r="Z12" s="50">
        <v>18</v>
      </c>
      <c r="AA12" s="50">
        <v>18</v>
      </c>
      <c r="AB12" s="50">
        <v>18</v>
      </c>
      <c r="AC12" s="50">
        <v>18</v>
      </c>
      <c r="AD12" s="50">
        <v>18</v>
      </c>
      <c r="AE12" s="50">
        <v>18</v>
      </c>
      <c r="AF12" s="50">
        <v>18</v>
      </c>
      <c r="AG12" s="51">
        <v>52.4</v>
      </c>
      <c r="AH12" s="52">
        <f t="shared" si="2"/>
        <v>18.5</v>
      </c>
      <c r="AI12" s="53">
        <f t="shared" si="3"/>
        <v>16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34.700000000000003</v>
      </c>
      <c r="C13" s="50">
        <v>34.700000000000003</v>
      </c>
      <c r="D13" s="50">
        <v>34.700000000000003</v>
      </c>
      <c r="E13" s="50">
        <v>34.700000000000003</v>
      </c>
      <c r="F13" s="50">
        <v>50.2</v>
      </c>
      <c r="G13" s="50">
        <v>50.2</v>
      </c>
      <c r="H13" s="50">
        <v>50.2</v>
      </c>
      <c r="I13" s="50">
        <v>50.2</v>
      </c>
      <c r="J13" s="50">
        <v>50.2</v>
      </c>
      <c r="K13" s="50">
        <v>50.2</v>
      </c>
      <c r="L13" s="50">
        <v>50.4</v>
      </c>
      <c r="M13" s="50">
        <v>50.4</v>
      </c>
      <c r="N13" s="50">
        <v>50.4</v>
      </c>
      <c r="O13" s="50">
        <v>50.4</v>
      </c>
      <c r="P13" s="50">
        <v>50.4</v>
      </c>
      <c r="Q13" s="50">
        <v>50.4</v>
      </c>
      <c r="R13" s="50">
        <v>50.4</v>
      </c>
      <c r="S13" s="50">
        <v>50.4</v>
      </c>
      <c r="T13" s="50">
        <v>50.4</v>
      </c>
      <c r="U13" s="50">
        <v>50.4</v>
      </c>
      <c r="V13" s="50">
        <v>50.4</v>
      </c>
      <c r="W13" s="50">
        <v>50.4</v>
      </c>
      <c r="X13" s="50">
        <v>50.4</v>
      </c>
      <c r="Y13" s="50">
        <v>50.4</v>
      </c>
      <c r="Z13" s="50">
        <v>50.4</v>
      </c>
      <c r="AA13" s="50">
        <v>50.4</v>
      </c>
      <c r="AB13" s="50">
        <v>50.4</v>
      </c>
      <c r="AC13" s="50">
        <v>50.4</v>
      </c>
      <c r="AD13" s="50">
        <v>50.4</v>
      </c>
      <c r="AE13" s="50">
        <v>50.4</v>
      </c>
      <c r="AF13" s="50">
        <v>50.4</v>
      </c>
      <c r="AG13" s="55">
        <v>50</v>
      </c>
      <c r="AH13" s="52">
        <f t="shared" si="2"/>
        <v>50.4</v>
      </c>
      <c r="AI13" s="53">
        <f t="shared" si="3"/>
        <v>34.700000000000003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16.600000000000001</v>
      </c>
      <c r="C14" s="50">
        <v>16.600000000000001</v>
      </c>
      <c r="D14" s="50">
        <v>16.600000000000001</v>
      </c>
      <c r="E14" s="50">
        <v>16.600000000000001</v>
      </c>
      <c r="F14" s="50">
        <v>22.3</v>
      </c>
      <c r="G14" s="50">
        <v>22.3</v>
      </c>
      <c r="H14" s="50">
        <v>22.3</v>
      </c>
      <c r="I14" s="50">
        <v>22.3</v>
      </c>
      <c r="J14" s="50">
        <v>22.3</v>
      </c>
      <c r="K14" s="50">
        <v>22.3</v>
      </c>
      <c r="L14" s="50">
        <v>21.2</v>
      </c>
      <c r="M14" s="50">
        <v>21.2</v>
      </c>
      <c r="N14" s="50">
        <v>21.2</v>
      </c>
      <c r="O14" s="50">
        <v>21.2</v>
      </c>
      <c r="P14" s="50">
        <v>21.2</v>
      </c>
      <c r="Q14" s="50">
        <v>21.2</v>
      </c>
      <c r="R14" s="50">
        <v>21.2</v>
      </c>
      <c r="S14" s="50">
        <v>21.2</v>
      </c>
      <c r="T14" s="50">
        <v>21.2</v>
      </c>
      <c r="U14" s="50">
        <v>21.2</v>
      </c>
      <c r="V14" s="50">
        <v>21.2</v>
      </c>
      <c r="W14" s="50">
        <v>21.2</v>
      </c>
      <c r="X14" s="50">
        <v>21.2</v>
      </c>
      <c r="Y14" s="50">
        <v>21.2</v>
      </c>
      <c r="Z14" s="50">
        <v>21.2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5">
        <v>45</v>
      </c>
      <c r="AH14" s="52">
        <f t="shared" si="2"/>
        <v>22.3</v>
      </c>
      <c r="AI14" s="53">
        <f t="shared" si="3"/>
        <v>0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14</v>
      </c>
      <c r="C15" s="50">
        <v>14</v>
      </c>
      <c r="D15" s="50">
        <v>14</v>
      </c>
      <c r="E15" s="50">
        <v>14</v>
      </c>
      <c r="F15" s="50">
        <v>17</v>
      </c>
      <c r="G15" s="50">
        <v>17</v>
      </c>
      <c r="H15" s="50">
        <v>17</v>
      </c>
      <c r="I15" s="50">
        <v>17</v>
      </c>
      <c r="J15" s="50">
        <v>17</v>
      </c>
      <c r="K15" s="50">
        <v>17</v>
      </c>
      <c r="L15" s="50">
        <v>17</v>
      </c>
      <c r="M15" s="50">
        <v>17</v>
      </c>
      <c r="N15" s="50">
        <v>17</v>
      </c>
      <c r="O15" s="50">
        <v>17</v>
      </c>
      <c r="P15" s="50">
        <v>17</v>
      </c>
      <c r="Q15" s="50">
        <v>17</v>
      </c>
      <c r="R15" s="50">
        <v>17</v>
      </c>
      <c r="S15" s="50">
        <v>17</v>
      </c>
      <c r="T15" s="50">
        <v>17</v>
      </c>
      <c r="U15" s="50">
        <v>17</v>
      </c>
      <c r="V15" s="50">
        <v>17</v>
      </c>
      <c r="W15" s="50">
        <v>17</v>
      </c>
      <c r="X15" s="50">
        <v>17</v>
      </c>
      <c r="Y15" s="50">
        <v>17</v>
      </c>
      <c r="Z15" s="50">
        <v>17</v>
      </c>
      <c r="AA15" s="50">
        <v>17</v>
      </c>
      <c r="AB15" s="50">
        <v>17</v>
      </c>
      <c r="AC15" s="50">
        <v>17</v>
      </c>
      <c r="AD15" s="50">
        <v>17</v>
      </c>
      <c r="AE15" s="50">
        <v>17</v>
      </c>
      <c r="AF15" s="50">
        <v>17</v>
      </c>
      <c r="AG15" s="55">
        <v>42</v>
      </c>
      <c r="AH15" s="52">
        <f t="shared" si="2"/>
        <v>17</v>
      </c>
      <c r="AI15" s="53">
        <f t="shared" si="3"/>
        <v>14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21</v>
      </c>
      <c r="C16" s="50">
        <v>21</v>
      </c>
      <c r="D16" s="50">
        <v>21</v>
      </c>
      <c r="E16" s="50">
        <v>21</v>
      </c>
      <c r="F16" s="50">
        <v>21</v>
      </c>
      <c r="G16" s="50">
        <v>21</v>
      </c>
      <c r="H16" s="50">
        <v>21</v>
      </c>
      <c r="I16" s="50">
        <v>21</v>
      </c>
      <c r="J16" s="50">
        <v>21</v>
      </c>
      <c r="K16" s="50">
        <v>21</v>
      </c>
      <c r="L16" s="50">
        <v>21</v>
      </c>
      <c r="M16" s="50">
        <v>21</v>
      </c>
      <c r="N16" s="50">
        <v>21</v>
      </c>
      <c r="O16" s="50">
        <v>21</v>
      </c>
      <c r="P16" s="50">
        <v>21</v>
      </c>
      <c r="Q16" s="50">
        <v>21</v>
      </c>
      <c r="R16" s="50">
        <v>21</v>
      </c>
      <c r="S16" s="50">
        <v>21</v>
      </c>
      <c r="T16" s="50">
        <v>21</v>
      </c>
      <c r="U16" s="50">
        <v>21</v>
      </c>
      <c r="V16" s="50">
        <v>21</v>
      </c>
      <c r="W16" s="50">
        <v>21</v>
      </c>
      <c r="X16" s="50">
        <v>21</v>
      </c>
      <c r="Y16" s="50">
        <v>21</v>
      </c>
      <c r="Z16" s="50">
        <v>21</v>
      </c>
      <c r="AA16" s="50">
        <v>21</v>
      </c>
      <c r="AB16" s="50">
        <v>21</v>
      </c>
      <c r="AC16" s="50">
        <v>21</v>
      </c>
      <c r="AD16" s="50">
        <v>21</v>
      </c>
      <c r="AE16" s="50">
        <v>21</v>
      </c>
      <c r="AF16" s="50">
        <v>21</v>
      </c>
      <c r="AG16" s="55">
        <v>36</v>
      </c>
      <c r="AH16" s="52">
        <f t="shared" si="2"/>
        <v>21</v>
      </c>
      <c r="AI16" s="53">
        <f t="shared" si="3"/>
        <v>21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5">
        <v>36</v>
      </c>
      <c r="AH17" s="52">
        <f t="shared" si="2"/>
        <v>10</v>
      </c>
      <c r="AI17" s="53">
        <f t="shared" si="3"/>
        <v>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11.5</v>
      </c>
      <c r="C18" s="50">
        <v>11.5</v>
      </c>
      <c r="D18" s="50">
        <v>11.5</v>
      </c>
      <c r="E18" s="50">
        <v>20.3</v>
      </c>
      <c r="F18" s="50">
        <v>20.3</v>
      </c>
      <c r="G18" s="50">
        <v>20.3</v>
      </c>
      <c r="H18" s="50">
        <v>20.3</v>
      </c>
      <c r="I18" s="50">
        <v>20.3</v>
      </c>
      <c r="J18" s="50">
        <v>20.3</v>
      </c>
      <c r="K18" s="50">
        <v>21.5</v>
      </c>
      <c r="L18" s="50">
        <v>20.100000000000001</v>
      </c>
      <c r="M18" s="50">
        <v>19.5</v>
      </c>
      <c r="N18" s="50">
        <v>19.5</v>
      </c>
      <c r="O18" s="50">
        <v>19.5</v>
      </c>
      <c r="P18" s="50">
        <v>17.7</v>
      </c>
      <c r="Q18" s="50">
        <v>17.7</v>
      </c>
      <c r="R18" s="50">
        <v>17.7</v>
      </c>
      <c r="S18" s="50">
        <v>17.7</v>
      </c>
      <c r="T18" s="50">
        <v>17.7</v>
      </c>
      <c r="U18" s="50">
        <v>17.7</v>
      </c>
      <c r="V18" s="50">
        <v>17.7</v>
      </c>
      <c r="W18" s="50">
        <v>17.7</v>
      </c>
      <c r="X18" s="50">
        <v>17.7</v>
      </c>
      <c r="Y18" s="50">
        <v>17.7</v>
      </c>
      <c r="Z18" s="50">
        <v>17.7</v>
      </c>
      <c r="AA18" s="50">
        <v>17.7</v>
      </c>
      <c r="AB18" s="50">
        <v>17.7</v>
      </c>
      <c r="AC18" s="50">
        <v>17.7</v>
      </c>
      <c r="AD18" s="50">
        <v>17.7</v>
      </c>
      <c r="AE18" s="50">
        <v>17.7</v>
      </c>
      <c r="AF18" s="50">
        <v>17.7</v>
      </c>
      <c r="AG18" s="56">
        <v>30</v>
      </c>
      <c r="AH18" s="52">
        <f t="shared" si="2"/>
        <v>21.5</v>
      </c>
      <c r="AI18" s="53">
        <f t="shared" si="3"/>
        <v>11.5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6.6</v>
      </c>
      <c r="C19" s="50">
        <v>6.6</v>
      </c>
      <c r="D19" s="50">
        <v>6.6</v>
      </c>
      <c r="E19" s="50">
        <v>6.6</v>
      </c>
      <c r="F19" s="50">
        <v>8.4</v>
      </c>
      <c r="G19" s="50">
        <v>8.4</v>
      </c>
      <c r="H19" s="50">
        <v>8.4</v>
      </c>
      <c r="I19" s="50">
        <v>8.4</v>
      </c>
      <c r="J19" s="50">
        <v>8.4</v>
      </c>
      <c r="K19" s="50">
        <v>8.4</v>
      </c>
      <c r="L19" s="50">
        <v>8.4</v>
      </c>
      <c r="M19" s="50">
        <v>8.4</v>
      </c>
      <c r="N19" s="50">
        <v>8.4</v>
      </c>
      <c r="O19" s="50">
        <v>8.4</v>
      </c>
      <c r="P19" s="50">
        <v>8.4</v>
      </c>
      <c r="Q19" s="50">
        <v>8.4</v>
      </c>
      <c r="R19" s="50">
        <v>8.4</v>
      </c>
      <c r="S19" s="50">
        <v>8.4</v>
      </c>
      <c r="T19" s="50">
        <v>8.4</v>
      </c>
      <c r="U19" s="50">
        <v>8.4</v>
      </c>
      <c r="V19" s="50">
        <v>8.4</v>
      </c>
      <c r="W19" s="50">
        <v>8.4</v>
      </c>
      <c r="X19" s="50">
        <v>8.4</v>
      </c>
      <c r="Y19" s="50">
        <v>8.4</v>
      </c>
      <c r="Z19" s="50">
        <v>8.4</v>
      </c>
      <c r="AA19" s="50">
        <v>8.4</v>
      </c>
      <c r="AB19" s="50">
        <v>8.4</v>
      </c>
      <c r="AC19" s="50">
        <v>8.4</v>
      </c>
      <c r="AD19" s="50">
        <v>8.4</v>
      </c>
      <c r="AE19" s="50">
        <v>8.4</v>
      </c>
      <c r="AF19" s="50">
        <v>8.4</v>
      </c>
      <c r="AG19" s="55">
        <v>24.2</v>
      </c>
      <c r="AH19" s="52">
        <f t="shared" si="2"/>
        <v>8.4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8</v>
      </c>
      <c r="C20" s="50">
        <v>8</v>
      </c>
      <c r="D20" s="50">
        <v>8</v>
      </c>
      <c r="E20" s="50">
        <v>8</v>
      </c>
      <c r="F20" s="50">
        <v>8</v>
      </c>
      <c r="G20" s="50">
        <v>8</v>
      </c>
      <c r="H20" s="50">
        <v>8</v>
      </c>
      <c r="I20" s="50">
        <v>8</v>
      </c>
      <c r="J20" s="50">
        <v>8</v>
      </c>
      <c r="K20" s="50">
        <v>8</v>
      </c>
      <c r="L20" s="50">
        <v>8</v>
      </c>
      <c r="M20" s="50">
        <v>9</v>
      </c>
      <c r="N20" s="50">
        <v>9</v>
      </c>
      <c r="O20" s="50">
        <v>9</v>
      </c>
      <c r="P20" s="50">
        <v>9</v>
      </c>
      <c r="Q20" s="50">
        <v>9</v>
      </c>
      <c r="R20" s="50">
        <v>9</v>
      </c>
      <c r="S20" s="50">
        <v>9</v>
      </c>
      <c r="T20" s="50">
        <v>9</v>
      </c>
      <c r="U20" s="50">
        <v>9</v>
      </c>
      <c r="V20" s="50">
        <v>9</v>
      </c>
      <c r="W20" s="50">
        <v>9</v>
      </c>
      <c r="X20" s="50">
        <v>9</v>
      </c>
      <c r="Y20" s="50">
        <v>9</v>
      </c>
      <c r="Z20" s="50">
        <v>9</v>
      </c>
      <c r="AA20" s="50">
        <v>9</v>
      </c>
      <c r="AB20" s="50">
        <v>9</v>
      </c>
      <c r="AC20" s="50">
        <v>9</v>
      </c>
      <c r="AD20" s="50">
        <v>9</v>
      </c>
      <c r="AE20" s="50">
        <v>9</v>
      </c>
      <c r="AF20" s="50">
        <v>9</v>
      </c>
      <c r="AG20" s="55">
        <v>28</v>
      </c>
      <c r="AH20" s="52">
        <f t="shared" si="2"/>
        <v>9</v>
      </c>
      <c r="AI20" s="53">
        <f t="shared" si="3"/>
        <v>8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14</v>
      </c>
      <c r="C21" s="50">
        <v>13.5</v>
      </c>
      <c r="D21" s="50">
        <v>6.5</v>
      </c>
      <c r="E21" s="50">
        <v>6.5</v>
      </c>
      <c r="F21" s="50">
        <v>6.5</v>
      </c>
      <c r="G21" s="50">
        <v>6.5</v>
      </c>
      <c r="H21" s="50">
        <v>6.5</v>
      </c>
      <c r="I21" s="50">
        <v>6.5</v>
      </c>
      <c r="J21" s="50">
        <v>6.5</v>
      </c>
      <c r="K21" s="50">
        <v>6.5</v>
      </c>
      <c r="L21" s="50">
        <v>6.5</v>
      </c>
      <c r="M21" s="50">
        <v>6.5</v>
      </c>
      <c r="N21" s="50">
        <v>6.5</v>
      </c>
      <c r="O21" s="50">
        <v>6.5</v>
      </c>
      <c r="P21" s="50">
        <v>6.5</v>
      </c>
      <c r="Q21" s="50">
        <v>6.5</v>
      </c>
      <c r="R21" s="50">
        <v>6.5</v>
      </c>
      <c r="S21" s="50">
        <v>6.5</v>
      </c>
      <c r="T21" s="50">
        <v>6.5</v>
      </c>
      <c r="U21" s="50">
        <v>6.5</v>
      </c>
      <c r="V21" s="50">
        <v>6.5</v>
      </c>
      <c r="W21" s="50">
        <v>6.5</v>
      </c>
      <c r="X21" s="50">
        <v>6.5</v>
      </c>
      <c r="Y21" s="50">
        <v>6.5</v>
      </c>
      <c r="Z21" s="50">
        <v>6.5</v>
      </c>
      <c r="AA21" s="50">
        <v>6.5</v>
      </c>
      <c r="AB21" s="50">
        <v>6.5</v>
      </c>
      <c r="AC21" s="50">
        <v>6.5</v>
      </c>
      <c r="AD21" s="50">
        <v>6.5</v>
      </c>
      <c r="AE21" s="50">
        <v>6.5</v>
      </c>
      <c r="AF21" s="50">
        <v>6.5</v>
      </c>
      <c r="AG21" s="56">
        <v>30</v>
      </c>
      <c r="AH21" s="52">
        <f t="shared" si="2"/>
        <v>14</v>
      </c>
      <c r="AI21" s="53">
        <f t="shared" si="3"/>
        <v>6.5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10.199999999999999</v>
      </c>
      <c r="C22" s="50">
        <v>10.199999999999999</v>
      </c>
      <c r="D22" s="50">
        <v>10.199999999999999</v>
      </c>
      <c r="E22" s="50">
        <v>10.199999999999999</v>
      </c>
      <c r="F22" s="50">
        <v>10.199999999999999</v>
      </c>
      <c r="G22" s="50">
        <v>10.199999999999999</v>
      </c>
      <c r="H22" s="50">
        <v>10.199999999999999</v>
      </c>
      <c r="I22" s="50">
        <v>15.9</v>
      </c>
      <c r="J22" s="50">
        <v>15.9</v>
      </c>
      <c r="K22" s="50">
        <v>15.9</v>
      </c>
      <c r="L22" s="50">
        <v>15.9</v>
      </c>
      <c r="M22" s="50">
        <v>17</v>
      </c>
      <c r="N22" s="50">
        <v>17</v>
      </c>
      <c r="O22" s="50">
        <v>17</v>
      </c>
      <c r="P22" s="50">
        <v>17</v>
      </c>
      <c r="Q22" s="50">
        <v>17</v>
      </c>
      <c r="R22" s="50">
        <v>17</v>
      </c>
      <c r="S22" s="50">
        <v>17</v>
      </c>
      <c r="T22" s="50">
        <v>17</v>
      </c>
      <c r="U22" s="50">
        <v>17</v>
      </c>
      <c r="V22" s="50">
        <v>17</v>
      </c>
      <c r="W22" s="50">
        <v>17</v>
      </c>
      <c r="X22" s="50">
        <v>17</v>
      </c>
      <c r="Y22" s="50">
        <v>17</v>
      </c>
      <c r="Z22" s="50">
        <v>17</v>
      </c>
      <c r="AA22" s="50">
        <v>17</v>
      </c>
      <c r="AB22" s="50">
        <v>17</v>
      </c>
      <c r="AC22" s="50">
        <v>17</v>
      </c>
      <c r="AD22" s="50">
        <v>17</v>
      </c>
      <c r="AE22" s="50">
        <v>17</v>
      </c>
      <c r="AF22" s="50">
        <v>17</v>
      </c>
      <c r="AG22" s="55">
        <v>25</v>
      </c>
      <c r="AH22" s="52">
        <f t="shared" si="2"/>
        <v>17</v>
      </c>
      <c r="AI22" s="53">
        <f t="shared" si="3"/>
        <v>10.199999999999999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10</v>
      </c>
      <c r="S23" s="50">
        <v>10</v>
      </c>
      <c r="T23" s="50">
        <v>10</v>
      </c>
      <c r="U23" s="50">
        <v>10</v>
      </c>
      <c r="V23" s="50">
        <v>10</v>
      </c>
      <c r="W23" s="50">
        <v>10</v>
      </c>
      <c r="X23" s="50">
        <v>10</v>
      </c>
      <c r="Y23" s="50">
        <v>10</v>
      </c>
      <c r="Z23" s="50">
        <v>10</v>
      </c>
      <c r="AA23" s="50">
        <v>10</v>
      </c>
      <c r="AB23" s="50">
        <v>10</v>
      </c>
      <c r="AC23" s="50">
        <v>10</v>
      </c>
      <c r="AD23" s="50">
        <v>10</v>
      </c>
      <c r="AE23" s="50">
        <v>10</v>
      </c>
      <c r="AF23" s="50">
        <v>10</v>
      </c>
      <c r="AG23" s="55">
        <v>25</v>
      </c>
      <c r="AH23" s="52">
        <f t="shared" si="2"/>
        <v>10</v>
      </c>
      <c r="AI23" s="53">
        <f t="shared" si="3"/>
        <v>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7.5</v>
      </c>
      <c r="C24" s="50">
        <v>7.5</v>
      </c>
      <c r="D24" s="50">
        <v>7.5</v>
      </c>
      <c r="E24" s="50">
        <v>7.5</v>
      </c>
      <c r="F24" s="50">
        <v>7.5</v>
      </c>
      <c r="G24" s="50">
        <v>7.5</v>
      </c>
      <c r="H24" s="50">
        <v>7.5</v>
      </c>
      <c r="I24" s="50">
        <v>7.5</v>
      </c>
      <c r="J24" s="50">
        <v>7.5</v>
      </c>
      <c r="K24" s="50">
        <v>7.5</v>
      </c>
      <c r="L24" s="50">
        <v>7.5</v>
      </c>
      <c r="M24" s="50">
        <v>7.5</v>
      </c>
      <c r="N24" s="50">
        <v>7.5</v>
      </c>
      <c r="O24" s="50">
        <v>7.5</v>
      </c>
      <c r="P24" s="50">
        <v>7.5</v>
      </c>
      <c r="Q24" s="50">
        <v>7.5</v>
      </c>
      <c r="R24" s="50">
        <v>7.5</v>
      </c>
      <c r="S24" s="50">
        <v>7.5</v>
      </c>
      <c r="T24" s="50">
        <v>7.5</v>
      </c>
      <c r="U24" s="50">
        <v>7.5</v>
      </c>
      <c r="V24" s="50">
        <v>7.5</v>
      </c>
      <c r="W24" s="50">
        <v>7.5</v>
      </c>
      <c r="X24" s="50">
        <v>7.5</v>
      </c>
      <c r="Y24" s="50">
        <v>7.5</v>
      </c>
      <c r="Z24" s="50">
        <v>7.5</v>
      </c>
      <c r="AA24" s="50">
        <v>0</v>
      </c>
      <c r="AB24" s="50">
        <v>0</v>
      </c>
      <c r="AC24" s="50">
        <v>0</v>
      </c>
      <c r="AD24" s="50">
        <v>7.5</v>
      </c>
      <c r="AE24" s="50">
        <v>7.5</v>
      </c>
      <c r="AF24" s="50">
        <v>7.5</v>
      </c>
      <c r="AG24" s="55">
        <v>25</v>
      </c>
      <c r="AH24" s="52">
        <f t="shared" si="2"/>
        <v>7.5</v>
      </c>
      <c r="AI24" s="53">
        <f t="shared" si="3"/>
        <v>0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16</v>
      </c>
      <c r="C25" s="50">
        <v>16</v>
      </c>
      <c r="D25" s="50">
        <v>16</v>
      </c>
      <c r="E25" s="50">
        <v>16</v>
      </c>
      <c r="F25" s="50">
        <v>16</v>
      </c>
      <c r="G25" s="50">
        <v>16</v>
      </c>
      <c r="H25" s="50">
        <v>16</v>
      </c>
      <c r="I25" s="50">
        <v>16</v>
      </c>
      <c r="J25" s="50">
        <v>16</v>
      </c>
      <c r="K25" s="50">
        <v>16</v>
      </c>
      <c r="L25" s="50">
        <v>16</v>
      </c>
      <c r="M25" s="50">
        <v>16</v>
      </c>
      <c r="N25" s="50">
        <v>16</v>
      </c>
      <c r="O25" s="50">
        <v>16</v>
      </c>
      <c r="P25" s="50">
        <v>15</v>
      </c>
      <c r="Q25" s="50">
        <v>15</v>
      </c>
      <c r="R25" s="50">
        <v>15</v>
      </c>
      <c r="S25" s="50">
        <v>15</v>
      </c>
      <c r="T25" s="50">
        <v>15</v>
      </c>
      <c r="U25" s="50">
        <v>15</v>
      </c>
      <c r="V25" s="50">
        <v>15</v>
      </c>
      <c r="W25" s="50">
        <v>15</v>
      </c>
      <c r="X25" s="50">
        <v>18</v>
      </c>
      <c r="Y25" s="50">
        <v>18</v>
      </c>
      <c r="Z25" s="50">
        <v>18</v>
      </c>
      <c r="AA25" s="50">
        <v>18</v>
      </c>
      <c r="AB25" s="50">
        <v>18</v>
      </c>
      <c r="AC25" s="50">
        <v>18</v>
      </c>
      <c r="AD25" s="50">
        <v>18</v>
      </c>
      <c r="AE25" s="50">
        <v>18</v>
      </c>
      <c r="AF25" s="50">
        <v>18</v>
      </c>
      <c r="AG25" s="55">
        <v>25</v>
      </c>
      <c r="AH25" s="52">
        <f t="shared" si="2"/>
        <v>18</v>
      </c>
      <c r="AI25" s="53">
        <f t="shared" si="3"/>
        <v>15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6.8</v>
      </c>
      <c r="C26" s="50">
        <v>6.8</v>
      </c>
      <c r="D26" s="50">
        <v>6.8</v>
      </c>
      <c r="E26" s="50">
        <v>6.8</v>
      </c>
      <c r="F26" s="50">
        <v>6.8</v>
      </c>
      <c r="G26" s="50">
        <v>6.8</v>
      </c>
      <c r="H26" s="50">
        <v>6.8</v>
      </c>
      <c r="I26" s="50">
        <v>6.8</v>
      </c>
      <c r="J26" s="50">
        <v>6.8</v>
      </c>
      <c r="K26" s="50">
        <v>6.8</v>
      </c>
      <c r="L26" s="50">
        <v>6.8</v>
      </c>
      <c r="M26" s="50">
        <v>6.8</v>
      </c>
      <c r="N26" s="50">
        <v>6.8</v>
      </c>
      <c r="O26" s="50">
        <v>6.8</v>
      </c>
      <c r="P26" s="50">
        <v>5.8</v>
      </c>
      <c r="Q26" s="50">
        <v>5.8</v>
      </c>
      <c r="R26" s="50">
        <v>5.8</v>
      </c>
      <c r="S26" s="50">
        <v>5.8</v>
      </c>
      <c r="T26" s="50">
        <v>5.8</v>
      </c>
      <c r="U26" s="50">
        <v>5.8</v>
      </c>
      <c r="V26" s="50">
        <v>5.8</v>
      </c>
      <c r="W26" s="50">
        <v>5.8</v>
      </c>
      <c r="X26" s="50">
        <v>5.8</v>
      </c>
      <c r="Y26" s="50">
        <v>5.8</v>
      </c>
      <c r="Z26" s="50">
        <v>5.8</v>
      </c>
      <c r="AA26" s="50">
        <v>5.8</v>
      </c>
      <c r="AB26" s="50">
        <v>5.8</v>
      </c>
      <c r="AC26" s="50">
        <v>5.8</v>
      </c>
      <c r="AD26" s="50">
        <v>5.8</v>
      </c>
      <c r="AE26" s="50">
        <v>5.8</v>
      </c>
      <c r="AF26" s="50">
        <v>5.8</v>
      </c>
      <c r="AG26" s="55">
        <v>23.5</v>
      </c>
      <c r="AH26" s="52">
        <f t="shared" si="2"/>
        <v>6.8</v>
      </c>
      <c r="AI26" s="53">
        <f t="shared" si="3"/>
        <v>5.8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5">
        <v>22</v>
      </c>
      <c r="AH29" s="52">
        <f t="shared" si="2"/>
        <v>0</v>
      </c>
      <c r="AI29" s="53">
        <f t="shared" si="3"/>
        <v>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10</v>
      </c>
      <c r="C30" s="50">
        <v>10</v>
      </c>
      <c r="D30" s="50">
        <v>10</v>
      </c>
      <c r="E30" s="50">
        <v>10</v>
      </c>
      <c r="F30" s="50">
        <v>10</v>
      </c>
      <c r="G30" s="50">
        <v>10</v>
      </c>
      <c r="H30" s="50">
        <v>10</v>
      </c>
      <c r="I30" s="50">
        <v>10</v>
      </c>
      <c r="J30" s="50">
        <v>10</v>
      </c>
      <c r="K30" s="50">
        <v>10</v>
      </c>
      <c r="L30" s="50">
        <v>10</v>
      </c>
      <c r="M30" s="50">
        <v>15</v>
      </c>
      <c r="N30" s="50">
        <v>15</v>
      </c>
      <c r="O30" s="50">
        <v>15</v>
      </c>
      <c r="P30" s="50">
        <v>15</v>
      </c>
      <c r="Q30" s="50">
        <v>15</v>
      </c>
      <c r="R30" s="50">
        <v>15</v>
      </c>
      <c r="S30" s="50">
        <v>15</v>
      </c>
      <c r="T30" s="50">
        <v>15</v>
      </c>
      <c r="U30" s="50">
        <v>15</v>
      </c>
      <c r="V30" s="50">
        <v>15</v>
      </c>
      <c r="W30" s="50">
        <v>15</v>
      </c>
      <c r="X30" s="50">
        <v>15</v>
      </c>
      <c r="Y30" s="50">
        <v>15</v>
      </c>
      <c r="Z30" s="50">
        <v>15</v>
      </c>
      <c r="AA30" s="50">
        <v>15</v>
      </c>
      <c r="AB30" s="50">
        <v>15</v>
      </c>
      <c r="AC30" s="50">
        <v>15</v>
      </c>
      <c r="AD30" s="50">
        <v>15</v>
      </c>
      <c r="AE30" s="50">
        <v>15</v>
      </c>
      <c r="AF30" s="50">
        <v>15</v>
      </c>
      <c r="AG30" s="55">
        <v>22</v>
      </c>
      <c r="AH30" s="52">
        <f t="shared" si="2"/>
        <v>15</v>
      </c>
      <c r="AI30" s="53">
        <f t="shared" si="3"/>
        <v>10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55">
        <v>20</v>
      </c>
      <c r="AH31" s="52">
        <f t="shared" si="2"/>
        <v>6</v>
      </c>
      <c r="AI31" s="53">
        <f t="shared" si="3"/>
        <v>6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>
        <v>4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8.9</v>
      </c>
      <c r="C33" s="50">
        <v>8.9</v>
      </c>
      <c r="D33" s="50">
        <v>8.9</v>
      </c>
      <c r="E33" s="50">
        <v>8.9</v>
      </c>
      <c r="F33" s="50">
        <v>8.9</v>
      </c>
      <c r="G33" s="50">
        <v>8.9</v>
      </c>
      <c r="H33" s="50">
        <v>8.9</v>
      </c>
      <c r="I33" s="50">
        <v>8.9</v>
      </c>
      <c r="J33" s="50">
        <v>8.9</v>
      </c>
      <c r="K33" s="50">
        <v>8.9</v>
      </c>
      <c r="L33" s="50">
        <v>8.9</v>
      </c>
      <c r="M33" s="50">
        <v>8.9</v>
      </c>
      <c r="N33" s="50">
        <v>8.9</v>
      </c>
      <c r="O33" s="50">
        <v>8.9</v>
      </c>
      <c r="P33" s="50">
        <v>8.9</v>
      </c>
      <c r="Q33" s="50">
        <v>8.9</v>
      </c>
      <c r="R33" s="50">
        <v>8.9</v>
      </c>
      <c r="S33" s="50">
        <v>8.9</v>
      </c>
      <c r="T33" s="50">
        <v>8.9</v>
      </c>
      <c r="U33" s="50">
        <v>8.9</v>
      </c>
      <c r="V33" s="50">
        <v>8.9</v>
      </c>
      <c r="W33" s="50">
        <v>8.9</v>
      </c>
      <c r="X33" s="50">
        <v>8.9</v>
      </c>
      <c r="Y33" s="50">
        <v>8.9</v>
      </c>
      <c r="Z33" s="50">
        <v>8.9</v>
      </c>
      <c r="AA33" s="50">
        <v>8.9</v>
      </c>
      <c r="AB33" s="50">
        <v>8.9</v>
      </c>
      <c r="AC33" s="50">
        <v>8.9</v>
      </c>
      <c r="AD33" s="50">
        <v>8.9</v>
      </c>
      <c r="AE33" s="50">
        <v>8.9</v>
      </c>
      <c r="AF33" s="50">
        <v>8.9</v>
      </c>
      <c r="AG33" s="55">
        <v>14.9</v>
      </c>
      <c r="AH33" s="52">
        <f t="shared" si="2"/>
        <v>8.9</v>
      </c>
      <c r="AI33" s="53">
        <f t="shared" si="3"/>
        <v>8.9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5.2</v>
      </c>
      <c r="C38" s="50">
        <v>5.2</v>
      </c>
      <c r="D38" s="50">
        <v>5.2</v>
      </c>
      <c r="E38" s="50">
        <v>5.2</v>
      </c>
      <c r="F38" s="50">
        <v>8</v>
      </c>
      <c r="G38" s="50">
        <v>8</v>
      </c>
      <c r="H38" s="50">
        <v>8</v>
      </c>
      <c r="I38" s="50">
        <v>5</v>
      </c>
      <c r="J38" s="50">
        <v>5</v>
      </c>
      <c r="K38" s="50">
        <v>5</v>
      </c>
      <c r="L38" s="50">
        <v>5</v>
      </c>
      <c r="M38" s="50">
        <v>5</v>
      </c>
      <c r="N38" s="50">
        <v>5</v>
      </c>
      <c r="O38" s="50">
        <v>5</v>
      </c>
      <c r="P38" s="50">
        <v>5</v>
      </c>
      <c r="Q38" s="50">
        <v>5</v>
      </c>
      <c r="R38" s="50">
        <v>5</v>
      </c>
      <c r="S38" s="50">
        <v>5</v>
      </c>
      <c r="T38" s="50">
        <v>5</v>
      </c>
      <c r="U38" s="50">
        <v>5</v>
      </c>
      <c r="V38" s="50">
        <v>5</v>
      </c>
      <c r="W38" s="50">
        <v>5</v>
      </c>
      <c r="X38" s="50">
        <v>5</v>
      </c>
      <c r="Y38" s="50">
        <v>5</v>
      </c>
      <c r="Z38" s="50">
        <v>5</v>
      </c>
      <c r="AA38" s="50">
        <v>5</v>
      </c>
      <c r="AB38" s="50">
        <v>5</v>
      </c>
      <c r="AC38" s="50">
        <v>5</v>
      </c>
      <c r="AD38" s="50">
        <v>5</v>
      </c>
      <c r="AE38" s="50">
        <v>5</v>
      </c>
      <c r="AF38" s="50">
        <v>5</v>
      </c>
      <c r="AG38" s="55">
        <v>12</v>
      </c>
      <c r="AH38" s="52">
        <f t="shared" si="2"/>
        <v>8</v>
      </c>
      <c r="AI38" s="53">
        <f t="shared" si="3"/>
        <v>5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3.6</v>
      </c>
      <c r="N42" s="50">
        <v>3.6</v>
      </c>
      <c r="O42" s="50">
        <v>3.6</v>
      </c>
      <c r="P42" s="50">
        <v>3.6</v>
      </c>
      <c r="Q42" s="50">
        <v>3.6</v>
      </c>
      <c r="R42" s="50">
        <v>3.6</v>
      </c>
      <c r="S42" s="50">
        <v>3.6</v>
      </c>
      <c r="T42" s="50">
        <v>3.6</v>
      </c>
      <c r="U42" s="50">
        <v>3.6</v>
      </c>
      <c r="V42" s="50">
        <v>3.6</v>
      </c>
      <c r="W42" s="50">
        <v>3.6</v>
      </c>
      <c r="X42" s="50">
        <v>3.6</v>
      </c>
      <c r="Y42" s="50">
        <v>3.6</v>
      </c>
      <c r="Z42" s="50">
        <v>3.6</v>
      </c>
      <c r="AA42" s="50">
        <v>3.6</v>
      </c>
      <c r="AB42" s="50">
        <v>3.6</v>
      </c>
      <c r="AC42" s="50">
        <v>3.6</v>
      </c>
      <c r="AD42" s="50">
        <v>3.6</v>
      </c>
      <c r="AE42" s="50">
        <v>3.6</v>
      </c>
      <c r="AF42" s="50">
        <v>3.6</v>
      </c>
      <c r="AG42" s="61">
        <v>11</v>
      </c>
      <c r="AH42" s="52">
        <f t="shared" si="2"/>
        <v>5</v>
      </c>
      <c r="AI42" s="53">
        <f t="shared" si="3"/>
        <v>3.6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50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3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140</v>
      </c>
      <c r="C46" s="63">
        <v>140</v>
      </c>
      <c r="D46" s="63">
        <v>140</v>
      </c>
      <c r="E46" s="63">
        <v>140</v>
      </c>
      <c r="F46" s="63">
        <v>150</v>
      </c>
      <c r="G46" s="63">
        <v>150</v>
      </c>
      <c r="H46" s="63">
        <v>150</v>
      </c>
      <c r="I46" s="63">
        <v>150</v>
      </c>
      <c r="J46" s="63">
        <v>150</v>
      </c>
      <c r="K46" s="63">
        <v>150</v>
      </c>
      <c r="L46" s="63">
        <v>150</v>
      </c>
      <c r="M46" s="63">
        <v>150</v>
      </c>
      <c r="N46" s="63">
        <v>150</v>
      </c>
      <c r="O46" s="63">
        <v>150</v>
      </c>
      <c r="P46" s="63">
        <v>150</v>
      </c>
      <c r="Q46" s="63">
        <v>150</v>
      </c>
      <c r="R46" s="63">
        <v>150</v>
      </c>
      <c r="S46" s="63">
        <v>150</v>
      </c>
      <c r="T46" s="63">
        <v>150</v>
      </c>
      <c r="U46" s="63">
        <v>150</v>
      </c>
      <c r="V46" s="63">
        <v>150</v>
      </c>
      <c r="W46" s="63">
        <v>150</v>
      </c>
      <c r="X46" s="63">
        <v>150</v>
      </c>
      <c r="Y46" s="63">
        <v>150</v>
      </c>
      <c r="Z46" s="63">
        <v>150</v>
      </c>
      <c r="AA46" s="63">
        <v>150</v>
      </c>
      <c r="AB46" s="63">
        <v>150</v>
      </c>
      <c r="AC46" s="63">
        <v>150</v>
      </c>
      <c r="AD46" s="63">
        <v>150</v>
      </c>
      <c r="AE46" s="63">
        <v>150</v>
      </c>
      <c r="AF46" s="63">
        <v>150</v>
      </c>
      <c r="AG46" s="61">
        <v>85</v>
      </c>
      <c r="AH46" s="52">
        <f t="shared" si="2"/>
        <v>150</v>
      </c>
      <c r="AI46" s="53">
        <f t="shared" si="3"/>
        <v>140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>SUM(B11:B46)</f>
        <v>433.3</v>
      </c>
      <c r="C48" s="67">
        <f t="shared" ref="C48:AF48" si="4">SUM(C11:C46)</f>
        <v>432.8</v>
      </c>
      <c r="D48" s="67">
        <f t="shared" si="4"/>
        <v>425.8</v>
      </c>
      <c r="E48" s="67">
        <f t="shared" si="4"/>
        <v>434.6</v>
      </c>
      <c r="F48" s="67">
        <f t="shared" si="4"/>
        <v>483.9</v>
      </c>
      <c r="G48" s="67">
        <f t="shared" si="4"/>
        <v>483.9</v>
      </c>
      <c r="H48" s="67">
        <f t="shared" si="4"/>
        <v>483.9</v>
      </c>
      <c r="I48" s="67">
        <f t="shared" si="4"/>
        <v>486.6</v>
      </c>
      <c r="J48" s="67">
        <f t="shared" si="4"/>
        <v>486.6</v>
      </c>
      <c r="K48" s="67">
        <f t="shared" si="4"/>
        <v>487.8</v>
      </c>
      <c r="L48" s="67">
        <f t="shared" si="4"/>
        <v>485</v>
      </c>
      <c r="M48" s="67">
        <f t="shared" si="4"/>
        <v>490.1</v>
      </c>
      <c r="N48" s="67">
        <f t="shared" si="4"/>
        <v>490.1</v>
      </c>
      <c r="O48" s="67">
        <f t="shared" si="4"/>
        <v>490.1</v>
      </c>
      <c r="P48" s="67">
        <f t="shared" si="4"/>
        <v>486.3</v>
      </c>
      <c r="Q48" s="67">
        <f t="shared" si="4"/>
        <v>486.3</v>
      </c>
      <c r="R48" s="67">
        <f t="shared" si="4"/>
        <v>496.30000000000007</v>
      </c>
      <c r="S48" s="67">
        <f t="shared" si="4"/>
        <v>496.30000000000007</v>
      </c>
      <c r="T48" s="67">
        <f t="shared" si="4"/>
        <v>496.30000000000007</v>
      </c>
      <c r="U48" s="67">
        <f t="shared" ref="U48" si="5">SUM(U11:U46)</f>
        <v>496.30000000000007</v>
      </c>
      <c r="V48" s="67">
        <f t="shared" si="4"/>
        <v>496.30000000000007</v>
      </c>
      <c r="W48" s="67">
        <f t="shared" si="4"/>
        <v>496.30000000000007</v>
      </c>
      <c r="X48" s="67">
        <f t="shared" si="4"/>
        <v>499.30000000000007</v>
      </c>
      <c r="Y48" s="67">
        <f t="shared" si="4"/>
        <v>504.3</v>
      </c>
      <c r="Z48" s="67">
        <f t="shared" si="4"/>
        <v>504.3</v>
      </c>
      <c r="AA48" s="67">
        <f t="shared" si="4"/>
        <v>465.59999999999997</v>
      </c>
      <c r="AB48" s="67">
        <f t="shared" si="4"/>
        <v>465.59999999999997</v>
      </c>
      <c r="AC48" s="67">
        <f t="shared" si="4"/>
        <v>465.59999999999997</v>
      </c>
      <c r="AD48" s="67">
        <f t="shared" si="4"/>
        <v>473.09999999999997</v>
      </c>
      <c r="AE48" s="67">
        <f t="shared" si="4"/>
        <v>473.09999999999997</v>
      </c>
      <c r="AF48" s="67">
        <f t="shared" si="4"/>
        <v>473.09999999999997</v>
      </c>
      <c r="AG48" s="68">
        <f t="shared" ref="AG48" si="6">SUM(AG12:AG46)</f>
        <v>875.68</v>
      </c>
      <c r="AH48" s="52">
        <f t="shared" si="2"/>
        <v>504.3</v>
      </c>
      <c r="AI48" s="53">
        <f t="shared" si="3"/>
        <v>425.8</v>
      </c>
      <c r="AK48" s="54"/>
    </row>
    <row r="49" spans="1:41" x14ac:dyDescent="0.25">
      <c r="A49" s="69" t="s">
        <v>57</v>
      </c>
      <c r="B49" s="50">
        <v>50</v>
      </c>
      <c r="C49" s="50">
        <v>50</v>
      </c>
      <c r="D49" s="50">
        <v>15</v>
      </c>
      <c r="E49" s="50">
        <v>15</v>
      </c>
      <c r="F49" s="50">
        <v>35</v>
      </c>
      <c r="G49" s="50">
        <v>90</v>
      </c>
      <c r="H49" s="50">
        <v>100</v>
      </c>
      <c r="I49" s="50">
        <v>80</v>
      </c>
      <c r="J49" s="50">
        <v>80</v>
      </c>
      <c r="K49" s="50">
        <v>80</v>
      </c>
      <c r="L49" s="50">
        <v>110</v>
      </c>
      <c r="M49" s="70">
        <v>120</v>
      </c>
      <c r="N49" s="70">
        <v>60</v>
      </c>
      <c r="O49" s="70">
        <v>60</v>
      </c>
      <c r="P49" s="50">
        <v>60</v>
      </c>
      <c r="Q49" s="50">
        <v>60</v>
      </c>
      <c r="R49" s="50">
        <v>80</v>
      </c>
      <c r="S49" s="50">
        <v>80</v>
      </c>
      <c r="T49" s="50">
        <v>115</v>
      </c>
      <c r="U49" s="50">
        <v>80</v>
      </c>
      <c r="V49" s="50">
        <v>80</v>
      </c>
      <c r="W49" s="50">
        <v>70</v>
      </c>
      <c r="X49" s="50">
        <v>70</v>
      </c>
      <c r="Y49" s="50">
        <v>70</v>
      </c>
      <c r="Z49" s="50">
        <v>140</v>
      </c>
      <c r="AA49" s="50">
        <v>180</v>
      </c>
      <c r="AB49" s="50">
        <v>130</v>
      </c>
      <c r="AC49" s="50">
        <v>110</v>
      </c>
      <c r="AD49" s="50">
        <v>110</v>
      </c>
      <c r="AE49" s="50">
        <v>130</v>
      </c>
      <c r="AF49" s="50">
        <v>80</v>
      </c>
      <c r="AG49" s="56">
        <v>456</v>
      </c>
      <c r="AH49" s="52">
        <f t="shared" si="2"/>
        <v>180</v>
      </c>
      <c r="AI49" s="53">
        <f t="shared" si="3"/>
        <v>15</v>
      </c>
      <c r="AK49" s="54"/>
    </row>
    <row r="50" spans="1:41" x14ac:dyDescent="0.25">
      <c r="A50" s="71" t="s">
        <v>58</v>
      </c>
      <c r="B50" s="72">
        <v>28</v>
      </c>
      <c r="C50" s="72">
        <v>28</v>
      </c>
      <c r="D50" s="72">
        <v>28</v>
      </c>
      <c r="E50" s="72">
        <v>28</v>
      </c>
      <c r="F50" s="72">
        <v>28</v>
      </c>
      <c r="G50" s="72">
        <v>32</v>
      </c>
      <c r="H50" s="72">
        <v>32</v>
      </c>
      <c r="I50" s="72">
        <v>32</v>
      </c>
      <c r="J50" s="72">
        <v>32</v>
      </c>
      <c r="K50" s="72">
        <v>32</v>
      </c>
      <c r="L50" s="72">
        <v>32</v>
      </c>
      <c r="M50" s="72">
        <v>32</v>
      </c>
      <c r="N50" s="72">
        <v>32</v>
      </c>
      <c r="O50" s="72">
        <v>32</v>
      </c>
      <c r="P50" s="72">
        <v>32</v>
      </c>
      <c r="Q50" s="72">
        <v>32</v>
      </c>
      <c r="R50" s="72">
        <v>32</v>
      </c>
      <c r="S50" s="72">
        <v>32</v>
      </c>
      <c r="T50" s="72">
        <v>32</v>
      </c>
      <c r="U50" s="72">
        <v>32</v>
      </c>
      <c r="V50" s="72">
        <v>32</v>
      </c>
      <c r="W50" s="72">
        <v>32</v>
      </c>
      <c r="X50" s="72">
        <v>32</v>
      </c>
      <c r="Y50" s="72">
        <v>32</v>
      </c>
      <c r="Z50" s="72">
        <v>32</v>
      </c>
      <c r="AA50" s="72">
        <v>32</v>
      </c>
      <c r="AB50" s="72">
        <v>32</v>
      </c>
      <c r="AC50" s="72">
        <v>32</v>
      </c>
      <c r="AD50" s="72">
        <v>32</v>
      </c>
      <c r="AE50" s="72">
        <v>32</v>
      </c>
      <c r="AF50" s="72">
        <v>32</v>
      </c>
      <c r="AG50" s="61">
        <v>60</v>
      </c>
      <c r="AH50" s="52">
        <f t="shared" si="2"/>
        <v>32</v>
      </c>
      <c r="AI50" s="53">
        <f t="shared" si="3"/>
        <v>28</v>
      </c>
      <c r="AK50" s="54"/>
    </row>
    <row r="51" spans="1:41" ht="15.75" thickBot="1" x14ac:dyDescent="0.3">
      <c r="A51" s="73" t="s">
        <v>59</v>
      </c>
      <c r="B51" s="74">
        <v>14.2</v>
      </c>
      <c r="C51" s="74">
        <v>14.2</v>
      </c>
      <c r="D51" s="74">
        <v>14.2</v>
      </c>
      <c r="E51" s="74">
        <v>14.2</v>
      </c>
      <c r="F51" s="74">
        <v>14.2</v>
      </c>
      <c r="G51" s="74">
        <v>14.2</v>
      </c>
      <c r="H51" s="74">
        <v>14.2</v>
      </c>
      <c r="I51" s="74">
        <v>16.100000000000001</v>
      </c>
      <c r="J51" s="74">
        <v>16.100000000000001</v>
      </c>
      <c r="K51" s="74">
        <v>16.100000000000001</v>
      </c>
      <c r="L51" s="74">
        <v>16.100000000000001</v>
      </c>
      <c r="M51" s="74">
        <v>16.100000000000001</v>
      </c>
      <c r="N51" s="74">
        <v>16.2</v>
      </c>
      <c r="O51" s="74">
        <v>16.2</v>
      </c>
      <c r="P51" s="74">
        <v>18.600000000000001</v>
      </c>
      <c r="Q51" s="74">
        <v>5.3</v>
      </c>
      <c r="R51" s="74">
        <v>5.2</v>
      </c>
      <c r="S51" s="74">
        <v>16.100000000000001</v>
      </c>
      <c r="T51" s="74">
        <v>16.100000000000001</v>
      </c>
      <c r="U51" s="74">
        <v>16.100000000000001</v>
      </c>
      <c r="V51" s="74">
        <v>16.100000000000001</v>
      </c>
      <c r="W51" s="74">
        <v>16.2</v>
      </c>
      <c r="X51" s="74">
        <v>16.2</v>
      </c>
      <c r="Y51" s="74">
        <v>16.2</v>
      </c>
      <c r="Z51" s="74">
        <v>16.100000000000001</v>
      </c>
      <c r="AA51" s="74">
        <v>16.100000000000001</v>
      </c>
      <c r="AB51" s="74">
        <v>16.100000000000001</v>
      </c>
      <c r="AC51" s="74">
        <v>16.100000000000001</v>
      </c>
      <c r="AD51" s="74">
        <v>16.100000000000001</v>
      </c>
      <c r="AE51" s="74">
        <v>16.100000000000001</v>
      </c>
      <c r="AF51" s="74">
        <v>16.100000000000001</v>
      </c>
      <c r="AG51" s="75">
        <v>22.1</v>
      </c>
      <c r="AH51" s="52">
        <f t="shared" si="2"/>
        <v>18.600000000000001</v>
      </c>
      <c r="AI51" s="53">
        <f t="shared" si="3"/>
        <v>5.2</v>
      </c>
      <c r="AK51" s="54"/>
    </row>
    <row r="52" spans="1:41" ht="15.75" thickBot="1" x14ac:dyDescent="0.3">
      <c r="A52" s="76" t="s">
        <v>60</v>
      </c>
      <c r="B52" s="67">
        <f t="shared" ref="B52:AG52" si="7">SUM(B49:B51)</f>
        <v>92.2</v>
      </c>
      <c r="C52" s="67">
        <f t="shared" si="7"/>
        <v>92.2</v>
      </c>
      <c r="D52" s="67">
        <f t="shared" si="7"/>
        <v>57.2</v>
      </c>
      <c r="E52" s="67">
        <f t="shared" si="7"/>
        <v>57.2</v>
      </c>
      <c r="F52" s="67">
        <f t="shared" si="7"/>
        <v>77.2</v>
      </c>
      <c r="G52" s="67">
        <f t="shared" si="7"/>
        <v>136.19999999999999</v>
      </c>
      <c r="H52" s="67">
        <f t="shared" si="7"/>
        <v>146.19999999999999</v>
      </c>
      <c r="I52" s="67">
        <f t="shared" si="7"/>
        <v>128.1</v>
      </c>
      <c r="J52" s="67">
        <f t="shared" si="7"/>
        <v>128.1</v>
      </c>
      <c r="K52" s="67">
        <f t="shared" si="7"/>
        <v>128.1</v>
      </c>
      <c r="L52" s="67">
        <f t="shared" si="7"/>
        <v>158.1</v>
      </c>
      <c r="M52" s="67">
        <f t="shared" si="7"/>
        <v>168.1</v>
      </c>
      <c r="N52" s="67">
        <f t="shared" si="7"/>
        <v>108.2</v>
      </c>
      <c r="O52" s="67">
        <f t="shared" si="7"/>
        <v>108.2</v>
      </c>
      <c r="P52" s="67">
        <f t="shared" si="7"/>
        <v>110.6</v>
      </c>
      <c r="Q52" s="67">
        <f t="shared" si="7"/>
        <v>97.3</v>
      </c>
      <c r="R52" s="67">
        <f t="shared" si="7"/>
        <v>117.2</v>
      </c>
      <c r="S52" s="67">
        <f t="shared" si="7"/>
        <v>128.1</v>
      </c>
      <c r="T52" s="67">
        <f t="shared" si="7"/>
        <v>163.1</v>
      </c>
      <c r="U52" s="67">
        <f t="shared" ref="U52" si="8">SUM(U49:U51)</f>
        <v>128.1</v>
      </c>
      <c r="V52" s="67">
        <f t="shared" si="7"/>
        <v>128.1</v>
      </c>
      <c r="W52" s="67">
        <f t="shared" si="7"/>
        <v>118.2</v>
      </c>
      <c r="X52" s="67">
        <f t="shared" si="7"/>
        <v>118.2</v>
      </c>
      <c r="Y52" s="67">
        <f t="shared" si="7"/>
        <v>118.2</v>
      </c>
      <c r="Z52" s="67">
        <f t="shared" si="7"/>
        <v>188.1</v>
      </c>
      <c r="AA52" s="67">
        <f t="shared" si="7"/>
        <v>228.1</v>
      </c>
      <c r="AB52" s="67">
        <f t="shared" si="7"/>
        <v>178.1</v>
      </c>
      <c r="AC52" s="67">
        <f t="shared" si="7"/>
        <v>158.1</v>
      </c>
      <c r="AD52" s="67">
        <f t="shared" si="7"/>
        <v>158.1</v>
      </c>
      <c r="AE52" s="67">
        <f t="shared" si="7"/>
        <v>178.1</v>
      </c>
      <c r="AF52" s="67">
        <f t="shared" si="7"/>
        <v>128.1</v>
      </c>
      <c r="AG52" s="68">
        <f t="shared" si="7"/>
        <v>538.1</v>
      </c>
      <c r="AH52" s="52">
        <f t="shared" si="2"/>
        <v>228.1</v>
      </c>
      <c r="AI52" s="53">
        <f t="shared" si="3"/>
        <v>57.2</v>
      </c>
      <c r="AK52" s="54"/>
    </row>
    <row r="53" spans="1:41" x14ac:dyDescent="0.25">
      <c r="A53" s="49" t="s">
        <v>61</v>
      </c>
      <c r="B53" s="50">
        <v>0</v>
      </c>
      <c r="C53" s="50">
        <v>0</v>
      </c>
      <c r="D53" s="50">
        <v>0</v>
      </c>
      <c r="E53" s="50">
        <v>0</v>
      </c>
      <c r="F53" s="50">
        <v>48.5</v>
      </c>
      <c r="G53" s="50">
        <v>61</v>
      </c>
      <c r="H53" s="50">
        <v>61</v>
      </c>
      <c r="I53" s="50">
        <v>96</v>
      </c>
      <c r="J53" s="50">
        <v>130</v>
      </c>
      <c r="K53" s="50">
        <v>145.80000000000001</v>
      </c>
      <c r="L53" s="50">
        <v>145.69999999999999</v>
      </c>
      <c r="M53" s="50">
        <v>145.69999999999999</v>
      </c>
      <c r="N53" s="50">
        <v>110</v>
      </c>
      <c r="O53" s="50">
        <v>92</v>
      </c>
      <c r="P53" s="50">
        <v>82.3</v>
      </c>
      <c r="Q53" s="50">
        <v>91.1</v>
      </c>
      <c r="R53" s="50">
        <v>71</v>
      </c>
      <c r="S53" s="50">
        <v>71</v>
      </c>
      <c r="T53" s="50">
        <v>90.9</v>
      </c>
      <c r="U53" s="50">
        <v>80.7</v>
      </c>
      <c r="V53" s="50">
        <v>91.1</v>
      </c>
      <c r="W53" s="50">
        <v>91.1</v>
      </c>
      <c r="X53" s="50">
        <v>106.7</v>
      </c>
      <c r="Y53" s="50">
        <v>121.7</v>
      </c>
      <c r="Z53" s="50">
        <v>144.69999999999999</v>
      </c>
      <c r="AA53" s="50">
        <v>145.4</v>
      </c>
      <c r="AB53" s="50">
        <v>145.1</v>
      </c>
      <c r="AC53" s="50">
        <v>145.1</v>
      </c>
      <c r="AD53" s="50">
        <v>130</v>
      </c>
      <c r="AE53" s="50">
        <v>81</v>
      </c>
      <c r="AF53" s="50">
        <v>70</v>
      </c>
      <c r="AG53" s="56">
        <v>144</v>
      </c>
      <c r="AH53" s="52">
        <f t="shared" si="2"/>
        <v>145.80000000000001</v>
      </c>
      <c r="AI53" s="53">
        <f t="shared" si="3"/>
        <v>0</v>
      </c>
      <c r="AK53" s="54"/>
    </row>
    <row r="54" spans="1:41" x14ac:dyDescent="0.25">
      <c r="A54" s="60" t="s">
        <v>62</v>
      </c>
      <c r="B54" s="72">
        <v>0</v>
      </c>
      <c r="C54" s="72">
        <v>0</v>
      </c>
      <c r="D54" s="72">
        <v>25</v>
      </c>
      <c r="E54" s="72">
        <v>25</v>
      </c>
      <c r="F54" s="72">
        <v>34.799999999999997</v>
      </c>
      <c r="G54" s="72">
        <v>34.799999999999997</v>
      </c>
      <c r="H54" s="72">
        <v>34.799999999999997</v>
      </c>
      <c r="I54" s="72">
        <v>34.9</v>
      </c>
      <c r="J54" s="72">
        <v>51.6</v>
      </c>
      <c r="K54" s="72">
        <v>65.2</v>
      </c>
      <c r="L54" s="72">
        <v>64.3</v>
      </c>
      <c r="M54" s="72">
        <v>64.3</v>
      </c>
      <c r="N54" s="72">
        <v>48.6</v>
      </c>
      <c r="O54" s="72">
        <v>48.6</v>
      </c>
      <c r="P54" s="72">
        <v>60.1</v>
      </c>
      <c r="Q54" s="72">
        <v>50.6</v>
      </c>
      <c r="R54" s="72">
        <v>51.4</v>
      </c>
      <c r="S54" s="72">
        <v>51.4</v>
      </c>
      <c r="T54" s="50">
        <v>50.2</v>
      </c>
      <c r="U54" s="50">
        <v>51.5</v>
      </c>
      <c r="V54" s="50">
        <v>51.3</v>
      </c>
      <c r="W54" s="50">
        <v>46.6</v>
      </c>
      <c r="X54" s="50">
        <v>45.4</v>
      </c>
      <c r="Y54" s="50">
        <v>44.3</v>
      </c>
      <c r="Z54" s="50">
        <v>68.2</v>
      </c>
      <c r="AA54" s="50">
        <v>70</v>
      </c>
      <c r="AB54" s="50">
        <v>70</v>
      </c>
      <c r="AC54" s="50">
        <v>70</v>
      </c>
      <c r="AD54" s="50">
        <v>70</v>
      </c>
      <c r="AE54" s="72">
        <v>35</v>
      </c>
      <c r="AF54" s="72">
        <v>25</v>
      </c>
      <c r="AG54" s="61">
        <v>70</v>
      </c>
      <c r="AH54" s="52">
        <f t="shared" si="2"/>
        <v>70</v>
      </c>
      <c r="AI54" s="53">
        <f t="shared" si="3"/>
        <v>0</v>
      </c>
      <c r="AK54" s="54"/>
    </row>
    <row r="55" spans="1:41" x14ac:dyDescent="0.25">
      <c r="A55" s="60" t="s">
        <v>63</v>
      </c>
      <c r="B55" s="72">
        <v>32</v>
      </c>
      <c r="C55" s="72">
        <v>32</v>
      </c>
      <c r="D55" s="72">
        <v>16</v>
      </c>
      <c r="E55" s="72">
        <v>0</v>
      </c>
      <c r="F55" s="72">
        <v>0</v>
      </c>
      <c r="G55" s="72">
        <v>16.3</v>
      </c>
      <c r="H55" s="72">
        <v>16.3</v>
      </c>
      <c r="I55" s="72">
        <v>15.8</v>
      </c>
      <c r="J55" s="72">
        <v>15.7</v>
      </c>
      <c r="K55" s="72">
        <v>15.6</v>
      </c>
      <c r="L55" s="72">
        <v>15.7</v>
      </c>
      <c r="M55" s="72">
        <v>22.1</v>
      </c>
      <c r="N55" s="72">
        <v>33.5</v>
      </c>
      <c r="O55" s="72">
        <v>33.5</v>
      </c>
      <c r="P55" s="72">
        <v>33.1</v>
      </c>
      <c r="Q55" s="72">
        <v>55.6</v>
      </c>
      <c r="R55" s="72">
        <v>60.9</v>
      </c>
      <c r="S55" s="72">
        <v>60.9</v>
      </c>
      <c r="T55" s="50">
        <v>51.6</v>
      </c>
      <c r="U55" s="50">
        <v>49.1</v>
      </c>
      <c r="V55" s="50">
        <v>67.900000000000006</v>
      </c>
      <c r="W55" s="50">
        <v>67.8</v>
      </c>
      <c r="X55" s="50">
        <v>50.7</v>
      </c>
      <c r="Y55" s="50">
        <v>50</v>
      </c>
      <c r="Z55" s="50">
        <v>69.7</v>
      </c>
      <c r="AA55" s="50">
        <v>69.7</v>
      </c>
      <c r="AB55" s="50">
        <v>69.7</v>
      </c>
      <c r="AC55" s="50">
        <v>69.7</v>
      </c>
      <c r="AD55" s="50">
        <v>69.7</v>
      </c>
      <c r="AE55" s="72">
        <v>50</v>
      </c>
      <c r="AF55" s="72">
        <v>17</v>
      </c>
      <c r="AG55" s="61">
        <v>69</v>
      </c>
      <c r="AH55" s="52">
        <f t="shared" si="2"/>
        <v>69.7</v>
      </c>
      <c r="AI55" s="53">
        <f t="shared" si="3"/>
        <v>0</v>
      </c>
      <c r="AK55" s="54"/>
    </row>
    <row r="56" spans="1:41" x14ac:dyDescent="0.25">
      <c r="A56" s="60" t="s">
        <v>64</v>
      </c>
      <c r="B56" s="72">
        <v>44</v>
      </c>
      <c r="C56" s="72">
        <v>44</v>
      </c>
      <c r="D56" s="72">
        <v>44</v>
      </c>
      <c r="E56" s="72">
        <v>44</v>
      </c>
      <c r="F56" s="63">
        <v>50.4</v>
      </c>
      <c r="G56" s="63">
        <v>50.4</v>
      </c>
      <c r="H56" s="63">
        <v>52.4</v>
      </c>
      <c r="I56" s="63">
        <v>56.4</v>
      </c>
      <c r="J56" s="63">
        <v>60.7</v>
      </c>
      <c r="K56" s="63">
        <v>57.4</v>
      </c>
      <c r="L56" s="63">
        <v>57.2</v>
      </c>
      <c r="M56" s="63">
        <v>57.2</v>
      </c>
      <c r="N56" s="63">
        <v>56.2</v>
      </c>
      <c r="O56" s="63">
        <v>56.2</v>
      </c>
      <c r="P56" s="72">
        <v>56.4</v>
      </c>
      <c r="Q56" s="72">
        <v>55.4</v>
      </c>
      <c r="R56" s="72">
        <v>55.4</v>
      </c>
      <c r="S56" s="72">
        <v>51.9</v>
      </c>
      <c r="T56" s="50">
        <v>51.9</v>
      </c>
      <c r="U56" s="50">
        <v>60.2</v>
      </c>
      <c r="V56" s="50">
        <v>60.4</v>
      </c>
      <c r="W56" s="50">
        <v>60.2</v>
      </c>
      <c r="X56" s="50">
        <v>60</v>
      </c>
      <c r="Y56" s="50">
        <v>56</v>
      </c>
      <c r="Z56" s="50">
        <v>56.2</v>
      </c>
      <c r="AA56" s="50">
        <v>56.2</v>
      </c>
      <c r="AB56" s="50">
        <v>56.2</v>
      </c>
      <c r="AC56" s="50">
        <v>56.2</v>
      </c>
      <c r="AD56" s="50">
        <v>56.2</v>
      </c>
      <c r="AE56" s="72">
        <v>54.4</v>
      </c>
      <c r="AF56" s="72">
        <v>52</v>
      </c>
      <c r="AG56" s="61">
        <v>60</v>
      </c>
      <c r="AH56" s="52">
        <f t="shared" si="2"/>
        <v>60.7</v>
      </c>
      <c r="AI56" s="53">
        <f t="shared" si="3"/>
        <v>44</v>
      </c>
      <c r="AK56" s="54"/>
    </row>
    <row r="57" spans="1:41" x14ac:dyDescent="0.25">
      <c r="A57" s="60" t="s">
        <v>65</v>
      </c>
      <c r="B57" s="72">
        <v>0</v>
      </c>
      <c r="C57" s="72">
        <v>0</v>
      </c>
      <c r="D57" s="72">
        <v>10</v>
      </c>
      <c r="E57" s="72">
        <v>15</v>
      </c>
      <c r="F57" s="72">
        <v>20</v>
      </c>
      <c r="G57" s="72">
        <v>20</v>
      </c>
      <c r="H57" s="72">
        <v>20</v>
      </c>
      <c r="I57" s="63">
        <v>20</v>
      </c>
      <c r="J57" s="63">
        <v>20</v>
      </c>
      <c r="K57" s="63">
        <v>20</v>
      </c>
      <c r="L57" s="63">
        <v>20</v>
      </c>
      <c r="M57" s="63">
        <v>20</v>
      </c>
      <c r="N57" s="63">
        <v>15</v>
      </c>
      <c r="O57" s="63">
        <v>15</v>
      </c>
      <c r="P57" s="72">
        <v>15</v>
      </c>
      <c r="Q57" s="72">
        <v>15</v>
      </c>
      <c r="R57" s="72">
        <v>15</v>
      </c>
      <c r="S57" s="72">
        <v>15</v>
      </c>
      <c r="T57" s="72">
        <v>15</v>
      </c>
      <c r="U57" s="72">
        <v>21.5</v>
      </c>
      <c r="V57" s="50">
        <v>20.9</v>
      </c>
      <c r="W57" s="50">
        <v>15</v>
      </c>
      <c r="X57" s="50">
        <v>15</v>
      </c>
      <c r="Y57" s="50">
        <v>12</v>
      </c>
      <c r="Z57" s="50">
        <v>20</v>
      </c>
      <c r="AA57" s="50">
        <v>28</v>
      </c>
      <c r="AB57" s="50">
        <v>15</v>
      </c>
      <c r="AC57" s="50">
        <v>15</v>
      </c>
      <c r="AD57" s="50">
        <v>15</v>
      </c>
      <c r="AE57" s="72">
        <v>15</v>
      </c>
      <c r="AF57" s="72">
        <v>15</v>
      </c>
      <c r="AG57" s="61">
        <v>30</v>
      </c>
      <c r="AH57" s="52">
        <f t="shared" si="2"/>
        <v>28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50">
        <v>0.4</v>
      </c>
      <c r="J58" s="50">
        <v>0.4</v>
      </c>
      <c r="K58" s="50">
        <v>0.6</v>
      </c>
      <c r="L58" s="50">
        <v>0.9</v>
      </c>
      <c r="M58" s="50">
        <v>0.9</v>
      </c>
      <c r="N58" s="50">
        <v>2.8</v>
      </c>
      <c r="O58" s="50">
        <v>1.8</v>
      </c>
      <c r="P58" s="72">
        <v>6.3</v>
      </c>
      <c r="Q58" s="72">
        <v>5</v>
      </c>
      <c r="R58" s="72">
        <v>4.2</v>
      </c>
      <c r="S58" s="72">
        <v>4.7</v>
      </c>
      <c r="T58" s="72">
        <v>4.7</v>
      </c>
      <c r="U58" s="72">
        <v>4.7</v>
      </c>
      <c r="V58" s="50">
        <v>2</v>
      </c>
      <c r="W58" s="50">
        <v>1.8</v>
      </c>
      <c r="X58" s="50">
        <v>0.5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6.3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15</v>
      </c>
      <c r="C59" s="72">
        <v>15</v>
      </c>
      <c r="D59" s="72">
        <v>15</v>
      </c>
      <c r="E59" s="72">
        <v>17</v>
      </c>
      <c r="F59" s="72">
        <v>17</v>
      </c>
      <c r="G59" s="72">
        <v>17</v>
      </c>
      <c r="H59" s="72">
        <v>17</v>
      </c>
      <c r="I59" s="72">
        <v>17</v>
      </c>
      <c r="J59" s="72">
        <v>17</v>
      </c>
      <c r="K59" s="72">
        <v>17</v>
      </c>
      <c r="L59" s="72">
        <v>17</v>
      </c>
      <c r="M59" s="72">
        <v>17</v>
      </c>
      <c r="N59" s="72">
        <v>17</v>
      </c>
      <c r="O59" s="72">
        <v>17</v>
      </c>
      <c r="P59" s="72">
        <v>17</v>
      </c>
      <c r="Q59" s="72">
        <v>17</v>
      </c>
      <c r="R59" s="72">
        <v>17</v>
      </c>
      <c r="S59" s="72">
        <v>17</v>
      </c>
      <c r="T59" s="72">
        <v>17</v>
      </c>
      <c r="U59" s="72">
        <v>17</v>
      </c>
      <c r="V59" s="72">
        <v>17</v>
      </c>
      <c r="W59" s="72">
        <v>17</v>
      </c>
      <c r="X59" s="72">
        <v>17</v>
      </c>
      <c r="Y59" s="72">
        <v>17</v>
      </c>
      <c r="Z59" s="72">
        <v>17</v>
      </c>
      <c r="AA59" s="72">
        <v>17</v>
      </c>
      <c r="AB59" s="72">
        <v>17</v>
      </c>
      <c r="AC59" s="72">
        <v>17</v>
      </c>
      <c r="AD59" s="72">
        <v>17</v>
      </c>
      <c r="AE59" s="72">
        <v>17</v>
      </c>
      <c r="AF59" s="72">
        <v>17</v>
      </c>
      <c r="AG59" s="61">
        <v>24</v>
      </c>
      <c r="AH59" s="52">
        <f t="shared" si="2"/>
        <v>17</v>
      </c>
      <c r="AI59" s="53">
        <f t="shared" si="3"/>
        <v>15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9.9</v>
      </c>
      <c r="C61" s="72">
        <v>9.9</v>
      </c>
      <c r="D61" s="72">
        <v>9.9</v>
      </c>
      <c r="E61" s="72">
        <v>9.9</v>
      </c>
      <c r="F61" s="72">
        <v>9.9</v>
      </c>
      <c r="G61" s="72">
        <v>9.9</v>
      </c>
      <c r="H61" s="72">
        <v>9.9</v>
      </c>
      <c r="I61" s="72">
        <v>9.9</v>
      </c>
      <c r="J61" s="72">
        <v>9.9</v>
      </c>
      <c r="K61" s="72">
        <v>9.9</v>
      </c>
      <c r="L61" s="72">
        <v>9.9</v>
      </c>
      <c r="M61" s="72">
        <v>9.9</v>
      </c>
      <c r="N61" s="72">
        <v>9.9</v>
      </c>
      <c r="O61" s="72">
        <v>9.9</v>
      </c>
      <c r="P61" s="72">
        <v>11.6</v>
      </c>
      <c r="Q61" s="72">
        <v>11.6</v>
      </c>
      <c r="R61" s="72">
        <v>11.5</v>
      </c>
      <c r="S61" s="72">
        <v>11.5</v>
      </c>
      <c r="T61" s="72">
        <v>11.5</v>
      </c>
      <c r="U61" s="72">
        <v>11.5</v>
      </c>
      <c r="V61" s="72">
        <v>11.5</v>
      </c>
      <c r="W61" s="72">
        <v>11.5</v>
      </c>
      <c r="X61" s="72">
        <v>11.5</v>
      </c>
      <c r="Y61" s="72">
        <v>11.5</v>
      </c>
      <c r="Z61" s="72">
        <v>11.5</v>
      </c>
      <c r="AA61" s="72">
        <v>11.5</v>
      </c>
      <c r="AB61" s="72">
        <v>11.5</v>
      </c>
      <c r="AC61" s="72">
        <v>11.5</v>
      </c>
      <c r="AD61" s="72">
        <v>11.5</v>
      </c>
      <c r="AE61" s="72">
        <v>11.5</v>
      </c>
      <c r="AF61" s="72">
        <v>11.5</v>
      </c>
      <c r="AG61" s="61">
        <v>14.1</v>
      </c>
      <c r="AH61" s="52">
        <f t="shared" si="2"/>
        <v>11.6</v>
      </c>
      <c r="AI61" s="53">
        <f t="shared" si="3"/>
        <v>9.9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6</v>
      </c>
      <c r="C62" s="72">
        <v>6</v>
      </c>
      <c r="D62" s="72">
        <v>6</v>
      </c>
      <c r="E62" s="72">
        <v>6</v>
      </c>
      <c r="F62" s="72">
        <v>6</v>
      </c>
      <c r="G62" s="72">
        <v>6</v>
      </c>
      <c r="H62" s="72">
        <v>6</v>
      </c>
      <c r="I62" s="72">
        <v>6</v>
      </c>
      <c r="J62" s="72">
        <v>6</v>
      </c>
      <c r="K62" s="72">
        <v>6</v>
      </c>
      <c r="L62" s="72">
        <v>6</v>
      </c>
      <c r="M62" s="72">
        <v>6</v>
      </c>
      <c r="N62" s="72">
        <v>6</v>
      </c>
      <c r="O62" s="72">
        <v>6</v>
      </c>
      <c r="P62" s="72">
        <v>6</v>
      </c>
      <c r="Q62" s="72">
        <v>6</v>
      </c>
      <c r="R62" s="72">
        <v>6</v>
      </c>
      <c r="S62" s="72">
        <v>6</v>
      </c>
      <c r="T62" s="72">
        <v>6</v>
      </c>
      <c r="U62" s="72">
        <v>6</v>
      </c>
      <c r="V62" s="72">
        <v>6</v>
      </c>
      <c r="W62" s="72">
        <v>6</v>
      </c>
      <c r="X62" s="72">
        <v>6</v>
      </c>
      <c r="Y62" s="72">
        <v>6</v>
      </c>
      <c r="Z62" s="72">
        <v>6</v>
      </c>
      <c r="AA62" s="72">
        <v>6</v>
      </c>
      <c r="AB62" s="72">
        <v>6</v>
      </c>
      <c r="AC62" s="72">
        <v>6</v>
      </c>
      <c r="AD62" s="72">
        <v>6</v>
      </c>
      <c r="AE62" s="72">
        <v>6</v>
      </c>
      <c r="AF62" s="72">
        <v>6</v>
      </c>
      <c r="AG62" s="61">
        <v>14</v>
      </c>
      <c r="AH62" s="52">
        <f t="shared" si="2"/>
        <v>6</v>
      </c>
      <c r="AI62" s="53">
        <f t="shared" si="3"/>
        <v>6</v>
      </c>
      <c r="AK62" s="54"/>
    </row>
    <row r="63" spans="1:41" x14ac:dyDescent="0.25">
      <c r="A63" s="60" t="s">
        <v>71</v>
      </c>
      <c r="B63" s="72">
        <v>3</v>
      </c>
      <c r="C63" s="72">
        <v>3</v>
      </c>
      <c r="D63" s="72">
        <v>3</v>
      </c>
      <c r="E63" s="72">
        <v>3</v>
      </c>
      <c r="F63" s="72">
        <v>3</v>
      </c>
      <c r="G63" s="72">
        <v>3</v>
      </c>
      <c r="H63" s="72">
        <v>3</v>
      </c>
      <c r="I63" s="72">
        <v>3</v>
      </c>
      <c r="J63" s="72">
        <v>3</v>
      </c>
      <c r="K63" s="72">
        <v>3</v>
      </c>
      <c r="L63" s="72">
        <v>3</v>
      </c>
      <c r="M63" s="72">
        <v>3</v>
      </c>
      <c r="N63" s="72">
        <v>3</v>
      </c>
      <c r="O63" s="72">
        <v>3</v>
      </c>
      <c r="P63" s="72">
        <v>3</v>
      </c>
      <c r="Q63" s="72">
        <v>3</v>
      </c>
      <c r="R63" s="72">
        <v>3</v>
      </c>
      <c r="S63" s="72">
        <v>3</v>
      </c>
      <c r="T63" s="72">
        <v>3</v>
      </c>
      <c r="U63" s="72">
        <v>3</v>
      </c>
      <c r="V63" s="72">
        <v>3</v>
      </c>
      <c r="W63" s="72">
        <v>3</v>
      </c>
      <c r="X63" s="72">
        <v>3</v>
      </c>
      <c r="Y63" s="72">
        <v>3</v>
      </c>
      <c r="Z63" s="72">
        <v>3</v>
      </c>
      <c r="AA63" s="72">
        <v>3</v>
      </c>
      <c r="AB63" s="72">
        <v>3</v>
      </c>
      <c r="AC63" s="72">
        <v>3</v>
      </c>
      <c r="AD63" s="72">
        <v>3</v>
      </c>
      <c r="AE63" s="72">
        <v>3</v>
      </c>
      <c r="AF63" s="72">
        <v>3</v>
      </c>
      <c r="AG63" s="61">
        <v>10.050000000000001</v>
      </c>
      <c r="AH63" s="52">
        <f t="shared" si="2"/>
        <v>3</v>
      </c>
      <c r="AI63" s="53">
        <f t="shared" si="3"/>
        <v>3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:AG66" si="9">SUM(B53:B65)</f>
        <v>115.44000000000001</v>
      </c>
      <c r="C66" s="67">
        <f t="shared" si="9"/>
        <v>115.44000000000001</v>
      </c>
      <c r="D66" s="67">
        <f t="shared" si="9"/>
        <v>134.44</v>
      </c>
      <c r="E66" s="67">
        <f t="shared" si="9"/>
        <v>125.44000000000001</v>
      </c>
      <c r="F66" s="67">
        <f t="shared" si="9"/>
        <v>195.14</v>
      </c>
      <c r="G66" s="67">
        <f t="shared" si="9"/>
        <v>223.94</v>
      </c>
      <c r="H66" s="67">
        <f t="shared" si="9"/>
        <v>225.94</v>
      </c>
      <c r="I66" s="67">
        <f t="shared" si="9"/>
        <v>264.94000000000005</v>
      </c>
      <c r="J66" s="67">
        <f t="shared" si="9"/>
        <v>319.83999999999997</v>
      </c>
      <c r="K66" s="67">
        <f t="shared" si="9"/>
        <v>346.04</v>
      </c>
      <c r="L66" s="67">
        <f t="shared" si="9"/>
        <v>345.23999999999995</v>
      </c>
      <c r="M66" s="67">
        <f t="shared" si="9"/>
        <v>351.64</v>
      </c>
      <c r="N66" s="67">
        <f t="shared" si="9"/>
        <v>307.54000000000002</v>
      </c>
      <c r="O66" s="67">
        <f t="shared" si="9"/>
        <v>288.54000000000002</v>
      </c>
      <c r="P66" s="67">
        <f t="shared" si="9"/>
        <v>296.34000000000009</v>
      </c>
      <c r="Q66" s="67">
        <f t="shared" si="9"/>
        <v>315.84000000000003</v>
      </c>
      <c r="R66" s="67">
        <f t="shared" si="9"/>
        <v>300.94000000000005</v>
      </c>
      <c r="S66" s="67">
        <f t="shared" si="9"/>
        <v>297.94</v>
      </c>
      <c r="T66" s="67">
        <f t="shared" si="9"/>
        <v>307.34000000000003</v>
      </c>
      <c r="U66" s="67">
        <f t="shared" si="9"/>
        <v>310.74</v>
      </c>
      <c r="V66" s="67">
        <f t="shared" si="9"/>
        <v>336.64</v>
      </c>
      <c r="W66" s="67">
        <f t="shared" si="9"/>
        <v>325.54000000000002</v>
      </c>
      <c r="X66" s="67">
        <f t="shared" si="9"/>
        <v>321.34000000000003</v>
      </c>
      <c r="Y66" s="67">
        <f t="shared" si="9"/>
        <v>327.04000000000002</v>
      </c>
      <c r="Z66" s="67">
        <f t="shared" si="9"/>
        <v>401.84</v>
      </c>
      <c r="AA66" s="67">
        <f t="shared" si="9"/>
        <v>412.34000000000003</v>
      </c>
      <c r="AB66" s="67">
        <f t="shared" si="9"/>
        <v>399.04</v>
      </c>
      <c r="AC66" s="67">
        <f t="shared" si="9"/>
        <v>399.04</v>
      </c>
      <c r="AD66" s="67">
        <f t="shared" si="9"/>
        <v>383.94</v>
      </c>
      <c r="AE66" s="67">
        <f t="shared" si="9"/>
        <v>278.44</v>
      </c>
      <c r="AF66" s="67">
        <f t="shared" si="9"/>
        <v>222.04</v>
      </c>
      <c r="AG66" s="68">
        <f t="shared" si="9"/>
        <v>489.91</v>
      </c>
      <c r="AH66" s="52">
        <f t="shared" si="2"/>
        <v>412.34000000000003</v>
      </c>
      <c r="AI66" s="53">
        <f t="shared" si="3"/>
        <v>115.44000000000001</v>
      </c>
      <c r="AK66" s="54"/>
    </row>
    <row r="67" spans="1:40" x14ac:dyDescent="0.25">
      <c r="A67" s="49" t="s">
        <v>75</v>
      </c>
      <c r="B67" s="50">
        <v>0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50">
        <v>0</v>
      </c>
      <c r="Y67" s="50">
        <v>0</v>
      </c>
      <c r="Z67" s="50">
        <v>14</v>
      </c>
      <c r="AA67" s="50">
        <v>60</v>
      </c>
      <c r="AB67" s="50">
        <v>60</v>
      </c>
      <c r="AC67" s="50">
        <v>14</v>
      </c>
      <c r="AD67" s="50">
        <v>0</v>
      </c>
      <c r="AE67" s="50">
        <v>0</v>
      </c>
      <c r="AF67" s="50">
        <v>0</v>
      </c>
      <c r="AG67" s="56">
        <v>60</v>
      </c>
      <c r="AH67" s="52">
        <f t="shared" si="2"/>
        <v>60</v>
      </c>
      <c r="AI67" s="53">
        <f t="shared" si="3"/>
        <v>0</v>
      </c>
      <c r="AK67" s="54"/>
    </row>
    <row r="68" spans="1:40" x14ac:dyDescent="0.25">
      <c r="A68" s="60" t="s">
        <v>76</v>
      </c>
      <c r="B68" s="50">
        <v>0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</v>
      </c>
      <c r="AA68" s="72">
        <v>27.8</v>
      </c>
      <c r="AB68" s="72">
        <v>27.8</v>
      </c>
      <c r="AC68" s="72">
        <v>6</v>
      </c>
      <c r="AD68" s="72">
        <v>0</v>
      </c>
      <c r="AE68" s="72">
        <v>0</v>
      </c>
      <c r="AF68" s="72">
        <v>0</v>
      </c>
      <c r="AG68" s="61">
        <v>32</v>
      </c>
      <c r="AH68" s="52">
        <f t="shared" si="2"/>
        <v>27.8</v>
      </c>
      <c r="AI68" s="53">
        <f t="shared" si="3"/>
        <v>0</v>
      </c>
      <c r="AK68" s="54"/>
    </row>
    <row r="69" spans="1:40" ht="15.75" thickBot="1" x14ac:dyDescent="0.3">
      <c r="A69" s="78" t="s">
        <v>77</v>
      </c>
      <c r="B69" s="50">
        <v>0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74">
        <v>0</v>
      </c>
      <c r="P69" s="74">
        <v>0</v>
      </c>
      <c r="Q69" s="74">
        <v>0</v>
      </c>
      <c r="R69" s="74">
        <v>0</v>
      </c>
      <c r="S69" s="74">
        <v>0</v>
      </c>
      <c r="T69" s="74">
        <v>0</v>
      </c>
      <c r="U69" s="74">
        <v>0</v>
      </c>
      <c r="V69" s="74">
        <v>0</v>
      </c>
      <c r="W69" s="74">
        <v>0</v>
      </c>
      <c r="X69" s="74">
        <v>0</v>
      </c>
      <c r="Y69" s="74">
        <v>0</v>
      </c>
      <c r="Z69" s="74">
        <v>0</v>
      </c>
      <c r="AA69" s="74">
        <v>10.1</v>
      </c>
      <c r="AB69" s="74">
        <v>10.1</v>
      </c>
      <c r="AC69" s="74">
        <v>2</v>
      </c>
      <c r="AD69" s="74">
        <v>0</v>
      </c>
      <c r="AE69" s="74">
        <v>0</v>
      </c>
      <c r="AF69" s="74">
        <v>0</v>
      </c>
      <c r="AG69" s="75">
        <v>14</v>
      </c>
      <c r="AH69" s="52">
        <f t="shared" si="2"/>
        <v>10.1</v>
      </c>
      <c r="AI69" s="53">
        <f t="shared" si="3"/>
        <v>0</v>
      </c>
      <c r="AK69" s="54"/>
    </row>
    <row r="70" spans="1:40" ht="15.75" thickBot="1" x14ac:dyDescent="0.3">
      <c r="A70" s="81" t="s">
        <v>78</v>
      </c>
      <c r="B70" s="67">
        <f>B67+B68+B69</f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0</v>
      </c>
      <c r="M70" s="67">
        <f t="shared" ref="M70:AF70" si="10">M67+M68+M69</f>
        <v>0</v>
      </c>
      <c r="N70" s="67">
        <f t="shared" si="10"/>
        <v>0</v>
      </c>
      <c r="O70" s="67">
        <f t="shared" si="10"/>
        <v>0</v>
      </c>
      <c r="P70" s="67">
        <f t="shared" si="10"/>
        <v>0</v>
      </c>
      <c r="Q70" s="67">
        <f t="shared" si="10"/>
        <v>0</v>
      </c>
      <c r="R70" s="67">
        <f t="shared" si="10"/>
        <v>0</v>
      </c>
      <c r="S70" s="67">
        <f t="shared" si="10"/>
        <v>0</v>
      </c>
      <c r="T70" s="67">
        <f t="shared" si="10"/>
        <v>0</v>
      </c>
      <c r="U70" s="67">
        <f t="shared" si="10"/>
        <v>0</v>
      </c>
      <c r="V70" s="67">
        <f t="shared" si="10"/>
        <v>0</v>
      </c>
      <c r="W70" s="67">
        <f t="shared" si="10"/>
        <v>0</v>
      </c>
      <c r="X70" s="67">
        <f t="shared" si="10"/>
        <v>0</v>
      </c>
      <c r="Y70" s="67">
        <f t="shared" si="10"/>
        <v>0</v>
      </c>
      <c r="Z70" s="67">
        <f t="shared" si="10"/>
        <v>14</v>
      </c>
      <c r="AA70" s="67">
        <f t="shared" si="10"/>
        <v>97.899999999999991</v>
      </c>
      <c r="AB70" s="67">
        <f t="shared" si="10"/>
        <v>97.899999999999991</v>
      </c>
      <c r="AC70" s="67">
        <f t="shared" si="10"/>
        <v>22</v>
      </c>
      <c r="AD70" s="67">
        <f t="shared" si="10"/>
        <v>0</v>
      </c>
      <c r="AE70" s="67">
        <f t="shared" si="10"/>
        <v>0</v>
      </c>
      <c r="AF70" s="67">
        <f t="shared" si="10"/>
        <v>0</v>
      </c>
      <c r="AG70" s="68">
        <f>SUM(AG67:AG69)</f>
        <v>106</v>
      </c>
      <c r="AH70" s="52">
        <f t="shared" si="2"/>
        <v>97.899999999999991</v>
      </c>
      <c r="AI70" s="53">
        <f t="shared" si="3"/>
        <v>0</v>
      </c>
      <c r="AK70" s="54"/>
    </row>
    <row r="71" spans="1:40" x14ac:dyDescent="0.25">
      <c r="A71" s="49" t="s">
        <v>79</v>
      </c>
      <c r="B71" s="50">
        <v>46.8</v>
      </c>
      <c r="C71" s="50">
        <v>52</v>
      </c>
      <c r="D71" s="50">
        <v>50.8</v>
      </c>
      <c r="E71" s="50">
        <v>56</v>
      </c>
      <c r="F71" s="50">
        <v>32.1</v>
      </c>
      <c r="G71" s="50">
        <v>32.4</v>
      </c>
      <c r="H71" s="50">
        <v>34.200000000000003</v>
      </c>
      <c r="I71" s="50">
        <v>39.9</v>
      </c>
      <c r="J71" s="50">
        <v>36.200000000000003</v>
      </c>
      <c r="K71" s="50">
        <v>46.2</v>
      </c>
      <c r="L71" s="50">
        <v>44</v>
      </c>
      <c r="M71" s="50">
        <v>41.1</v>
      </c>
      <c r="N71" s="50">
        <v>48.7</v>
      </c>
      <c r="O71" s="50">
        <v>51.2</v>
      </c>
      <c r="P71" s="50">
        <v>55.8</v>
      </c>
      <c r="Q71" s="50">
        <v>50.8</v>
      </c>
      <c r="R71" s="50">
        <v>45.2</v>
      </c>
      <c r="S71" s="50">
        <v>45.5</v>
      </c>
      <c r="T71" s="50">
        <v>42.5</v>
      </c>
      <c r="U71" s="50">
        <v>35.5</v>
      </c>
      <c r="V71" s="50">
        <v>45.8</v>
      </c>
      <c r="W71" s="50">
        <v>44.9</v>
      </c>
      <c r="X71" s="50">
        <v>26</v>
      </c>
      <c r="Y71" s="50">
        <v>29.3</v>
      </c>
      <c r="Z71" s="50">
        <v>59.8</v>
      </c>
      <c r="AA71" s="50">
        <v>62.2</v>
      </c>
      <c r="AB71" s="50">
        <v>62.2</v>
      </c>
      <c r="AC71" s="50">
        <v>65</v>
      </c>
      <c r="AD71" s="50">
        <v>64</v>
      </c>
      <c r="AE71" s="50">
        <v>63</v>
      </c>
      <c r="AF71" s="50">
        <v>53</v>
      </c>
      <c r="AG71" s="56"/>
      <c r="AH71" s="52">
        <f t="shared" si="2"/>
        <v>65</v>
      </c>
      <c r="AI71" s="53">
        <f t="shared" si="3"/>
        <v>26</v>
      </c>
      <c r="AK71" s="54"/>
    </row>
    <row r="72" spans="1:40" x14ac:dyDescent="0.25">
      <c r="A72" s="60" t="s">
        <v>80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385</v>
      </c>
      <c r="C73" s="72">
        <v>360</v>
      </c>
      <c r="D73" s="72">
        <v>354</v>
      </c>
      <c r="E73" s="72">
        <v>335</v>
      </c>
      <c r="F73" s="72">
        <v>315.7</v>
      </c>
      <c r="G73" s="72">
        <v>315</v>
      </c>
      <c r="H73" s="72">
        <v>303.10000000000002</v>
      </c>
      <c r="I73" s="72">
        <v>322.3</v>
      </c>
      <c r="J73" s="72">
        <v>333.6</v>
      </c>
      <c r="K73" s="72">
        <v>334.3</v>
      </c>
      <c r="L73" s="72">
        <v>360</v>
      </c>
      <c r="M73" s="72">
        <v>352</v>
      </c>
      <c r="N73" s="72">
        <v>393.1</v>
      </c>
      <c r="O73" s="72">
        <v>386</v>
      </c>
      <c r="P73" s="72">
        <v>385.4</v>
      </c>
      <c r="Q73" s="72">
        <v>381.6</v>
      </c>
      <c r="R73" s="72">
        <v>368</v>
      </c>
      <c r="S73" s="72">
        <v>335</v>
      </c>
      <c r="T73" s="72">
        <v>326.89999999999998</v>
      </c>
      <c r="U73" s="72">
        <v>348.7</v>
      </c>
      <c r="V73" s="72">
        <v>322</v>
      </c>
      <c r="W73" s="72">
        <v>356.1</v>
      </c>
      <c r="X73" s="72">
        <v>326</v>
      </c>
      <c r="Y73" s="72">
        <v>310</v>
      </c>
      <c r="Z73" s="72">
        <v>303.8</v>
      </c>
      <c r="AA73" s="72">
        <v>298.2</v>
      </c>
      <c r="AB73" s="72">
        <v>325</v>
      </c>
      <c r="AC73" s="72">
        <v>320</v>
      </c>
      <c r="AD73" s="72">
        <v>280</v>
      </c>
      <c r="AE73" s="72">
        <v>330</v>
      </c>
      <c r="AF73" s="72">
        <v>340</v>
      </c>
      <c r="AG73" s="82"/>
      <c r="AH73" s="52">
        <f t="shared" si="2"/>
        <v>393.1</v>
      </c>
      <c r="AI73" s="53">
        <f t="shared" si="3"/>
        <v>280</v>
      </c>
      <c r="AK73" s="54"/>
    </row>
    <row r="74" spans="1:40" x14ac:dyDescent="0.25">
      <c r="A74" s="60" t="s">
        <v>82</v>
      </c>
      <c r="B74" s="72">
        <v>46.3</v>
      </c>
      <c r="C74" s="72">
        <v>46.3</v>
      </c>
      <c r="D74" s="72">
        <v>41</v>
      </c>
      <c r="E74" s="72">
        <v>41</v>
      </c>
      <c r="F74" s="83">
        <v>0</v>
      </c>
      <c r="G74" s="83">
        <v>0</v>
      </c>
      <c r="H74" s="83">
        <v>0</v>
      </c>
      <c r="I74" s="83">
        <v>0</v>
      </c>
      <c r="J74" s="83">
        <v>0</v>
      </c>
      <c r="K74" s="83">
        <v>0</v>
      </c>
      <c r="L74" s="83">
        <v>0</v>
      </c>
      <c r="M74" s="83">
        <v>0</v>
      </c>
      <c r="N74" s="83">
        <v>0</v>
      </c>
      <c r="O74" s="83">
        <v>0</v>
      </c>
      <c r="P74" s="83">
        <v>0</v>
      </c>
      <c r="Q74" s="83">
        <v>0</v>
      </c>
      <c r="R74" s="83">
        <v>0</v>
      </c>
      <c r="S74" s="83">
        <v>0</v>
      </c>
      <c r="T74" s="83">
        <v>0</v>
      </c>
      <c r="U74" s="83">
        <v>0</v>
      </c>
      <c r="V74" s="83">
        <v>0</v>
      </c>
      <c r="W74" s="83">
        <v>0</v>
      </c>
      <c r="X74" s="83">
        <v>0</v>
      </c>
      <c r="Y74" s="83">
        <v>0</v>
      </c>
      <c r="Z74" s="83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82"/>
      <c r="AH74" s="52">
        <f t="shared" si="2"/>
        <v>46.3</v>
      </c>
      <c r="AI74" s="53">
        <f t="shared" si="3"/>
        <v>0</v>
      </c>
      <c r="AK74" s="54"/>
    </row>
    <row r="75" spans="1:40" x14ac:dyDescent="0.25">
      <c r="A75" s="60" t="s">
        <v>83</v>
      </c>
      <c r="B75" s="50">
        <v>31</v>
      </c>
      <c r="C75" s="50">
        <v>31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50">
        <v>0</v>
      </c>
      <c r="P75" s="50">
        <v>0</v>
      </c>
      <c r="Q75" s="50">
        <v>0</v>
      </c>
      <c r="R75" s="50">
        <v>0</v>
      </c>
      <c r="S75" s="50">
        <v>0</v>
      </c>
      <c r="T75" s="50">
        <v>0</v>
      </c>
      <c r="U75" s="50">
        <v>0</v>
      </c>
      <c r="V75" s="50">
        <v>0</v>
      </c>
      <c r="W75" s="50">
        <v>0</v>
      </c>
      <c r="X75" s="50">
        <v>0</v>
      </c>
      <c r="Y75" s="50">
        <v>0</v>
      </c>
      <c r="Z75" s="50">
        <v>0</v>
      </c>
      <c r="AA75" s="50">
        <v>0</v>
      </c>
      <c r="AB75" s="50">
        <v>0</v>
      </c>
      <c r="AC75" s="50">
        <v>0</v>
      </c>
      <c r="AD75" s="50">
        <v>0</v>
      </c>
      <c r="AE75" s="50">
        <v>0</v>
      </c>
      <c r="AF75" s="50">
        <v>0</v>
      </c>
      <c r="AG75" s="82"/>
      <c r="AH75" s="52">
        <f t="shared" ref="AH75:AH117" si="11">MAX(B75:AF75)</f>
        <v>31</v>
      </c>
      <c r="AI75" s="53">
        <f t="shared" ref="AI75:AI117" si="12">MIN(B75:AF75)</f>
        <v>0</v>
      </c>
      <c r="AK75" s="54"/>
    </row>
    <row r="76" spans="1:40" x14ac:dyDescent="0.25">
      <c r="A76" s="60" t="s">
        <v>84</v>
      </c>
      <c r="B76" s="84">
        <v>0</v>
      </c>
      <c r="C76" s="84">
        <v>0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2"/>
      <c r="AH76" s="52">
        <f t="shared" si="11"/>
        <v>0</v>
      </c>
      <c r="AI76" s="53">
        <f t="shared" si="12"/>
        <v>0</v>
      </c>
      <c r="AK76" s="54"/>
    </row>
    <row r="77" spans="1:40" ht="15.75" thickBot="1" x14ac:dyDescent="0.3">
      <c r="A77" s="60" t="s">
        <v>85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1"/>
        <v>0</v>
      </c>
      <c r="AI77" s="53">
        <f t="shared" si="12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1"/>
        <v>0</v>
      </c>
      <c r="AI78" s="53">
        <f t="shared" si="12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>
        <v>6</v>
      </c>
      <c r="C79" s="84">
        <v>6</v>
      </c>
      <c r="D79" s="84">
        <v>6</v>
      </c>
      <c r="E79" s="84">
        <v>6</v>
      </c>
      <c r="F79" s="84">
        <v>6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1"/>
        <v>6</v>
      </c>
      <c r="AI79" s="53">
        <f t="shared" si="12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1"/>
        <v>0</v>
      </c>
      <c r="AI80" s="53">
        <f t="shared" si="12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1"/>
        <v>0</v>
      </c>
      <c r="AI81" s="53">
        <f t="shared" si="12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:AF82" si="13">SUMIF(B71:B81,"&gt;0")</f>
        <v>515.1</v>
      </c>
      <c r="C82" s="67">
        <f t="shared" si="13"/>
        <v>495.3</v>
      </c>
      <c r="D82" s="67">
        <f t="shared" si="13"/>
        <v>451.8</v>
      </c>
      <c r="E82" s="67">
        <f t="shared" si="13"/>
        <v>438</v>
      </c>
      <c r="F82" s="67">
        <f t="shared" si="13"/>
        <v>353.8</v>
      </c>
      <c r="G82" s="67">
        <f t="shared" si="13"/>
        <v>347.4</v>
      </c>
      <c r="H82" s="67">
        <f t="shared" si="13"/>
        <v>337.3</v>
      </c>
      <c r="I82" s="67">
        <f t="shared" si="13"/>
        <v>362.2</v>
      </c>
      <c r="J82" s="67">
        <f t="shared" si="13"/>
        <v>369.8</v>
      </c>
      <c r="K82" s="67">
        <f t="shared" si="13"/>
        <v>380.5</v>
      </c>
      <c r="L82" s="67">
        <f t="shared" si="13"/>
        <v>404</v>
      </c>
      <c r="M82" s="67">
        <f t="shared" si="13"/>
        <v>393.1</v>
      </c>
      <c r="N82" s="67">
        <f t="shared" si="13"/>
        <v>441.8</v>
      </c>
      <c r="O82" s="67">
        <f t="shared" si="13"/>
        <v>437.2</v>
      </c>
      <c r="P82" s="67">
        <f t="shared" si="13"/>
        <v>441.2</v>
      </c>
      <c r="Q82" s="67">
        <f t="shared" si="13"/>
        <v>432.40000000000003</v>
      </c>
      <c r="R82" s="67">
        <f t="shared" si="13"/>
        <v>413.2</v>
      </c>
      <c r="S82" s="67">
        <f t="shared" si="13"/>
        <v>380.5</v>
      </c>
      <c r="T82" s="67">
        <f t="shared" si="13"/>
        <v>369.4</v>
      </c>
      <c r="U82" s="67">
        <f t="shared" si="13"/>
        <v>384.2</v>
      </c>
      <c r="V82" s="67">
        <f t="shared" si="13"/>
        <v>367.8</v>
      </c>
      <c r="W82" s="67">
        <f t="shared" si="13"/>
        <v>401</v>
      </c>
      <c r="X82" s="67">
        <f t="shared" si="13"/>
        <v>352</v>
      </c>
      <c r="Y82" s="67">
        <f t="shared" si="13"/>
        <v>339.3</v>
      </c>
      <c r="Z82" s="67">
        <f t="shared" si="13"/>
        <v>363.6</v>
      </c>
      <c r="AA82" s="67">
        <f t="shared" si="13"/>
        <v>360.4</v>
      </c>
      <c r="AB82" s="67">
        <f t="shared" si="13"/>
        <v>387.2</v>
      </c>
      <c r="AC82" s="67">
        <f t="shared" si="13"/>
        <v>385</v>
      </c>
      <c r="AD82" s="67">
        <f t="shared" si="13"/>
        <v>344</v>
      </c>
      <c r="AE82" s="67">
        <f t="shared" si="13"/>
        <v>393</v>
      </c>
      <c r="AF82" s="67">
        <f t="shared" si="13"/>
        <v>393</v>
      </c>
      <c r="AG82" s="95">
        <f>SUM(AG71:AG81)</f>
        <v>0</v>
      </c>
      <c r="AH82" s="52">
        <f t="shared" si="11"/>
        <v>515.1</v>
      </c>
      <c r="AI82" s="53">
        <f t="shared" si="12"/>
        <v>337.3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1"/>
        <v>0</v>
      </c>
      <c r="AI83" s="53">
        <f t="shared" si="12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1"/>
        <v>0</v>
      </c>
      <c r="AI84" s="53">
        <f t="shared" si="12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1"/>
        <v>0</v>
      </c>
      <c r="AI85" s="53">
        <f t="shared" si="12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1"/>
        <v>0</v>
      </c>
      <c r="AI86" s="53">
        <f t="shared" si="12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:AG87" si="14">B48+B52+B70+B66+B82+B86</f>
        <v>1156.04</v>
      </c>
      <c r="C87" s="102">
        <f t="shared" si="14"/>
        <v>1135.74</v>
      </c>
      <c r="D87" s="102">
        <f t="shared" si="14"/>
        <v>1069.24</v>
      </c>
      <c r="E87" s="102">
        <f t="shared" si="14"/>
        <v>1055.24</v>
      </c>
      <c r="F87" s="102">
        <f t="shared" si="14"/>
        <v>1110.04</v>
      </c>
      <c r="G87" s="102">
        <f t="shared" si="14"/>
        <v>1191.44</v>
      </c>
      <c r="H87" s="102">
        <f t="shared" si="14"/>
        <v>1193.3399999999999</v>
      </c>
      <c r="I87" s="102">
        <f t="shared" si="14"/>
        <v>1241.8400000000001</v>
      </c>
      <c r="J87" s="102">
        <f t="shared" si="14"/>
        <v>1304.3399999999999</v>
      </c>
      <c r="K87" s="102">
        <f t="shared" si="14"/>
        <v>1342.44</v>
      </c>
      <c r="L87" s="102">
        <f t="shared" si="14"/>
        <v>1392.34</v>
      </c>
      <c r="M87" s="102">
        <f t="shared" si="14"/>
        <v>1402.94</v>
      </c>
      <c r="N87" s="102">
        <f t="shared" si="14"/>
        <v>1347.64</v>
      </c>
      <c r="O87" s="102">
        <f t="shared" si="14"/>
        <v>1324.0400000000002</v>
      </c>
      <c r="P87" s="102">
        <f t="shared" si="14"/>
        <v>1334.44</v>
      </c>
      <c r="Q87" s="102">
        <f t="shared" si="14"/>
        <v>1331.8400000000001</v>
      </c>
      <c r="R87" s="102">
        <f t="shared" si="14"/>
        <v>1327.64</v>
      </c>
      <c r="S87" s="102">
        <f t="shared" si="14"/>
        <v>1302.8400000000001</v>
      </c>
      <c r="T87" s="102">
        <f t="shared" si="14"/>
        <v>1336.14</v>
      </c>
      <c r="U87" s="102">
        <f t="shared" si="14"/>
        <v>1319.3400000000001</v>
      </c>
      <c r="V87" s="102">
        <f t="shared" si="14"/>
        <v>1328.8400000000001</v>
      </c>
      <c r="W87" s="102">
        <f t="shared" si="14"/>
        <v>1341.0400000000002</v>
      </c>
      <c r="X87" s="102">
        <f t="shared" si="14"/>
        <v>1290.8400000000001</v>
      </c>
      <c r="Y87" s="102">
        <f t="shared" si="14"/>
        <v>1288.8399999999999</v>
      </c>
      <c r="Z87" s="102">
        <f t="shared" si="14"/>
        <v>1471.8400000000001</v>
      </c>
      <c r="AA87" s="102">
        <f t="shared" si="14"/>
        <v>1564.3400000000001</v>
      </c>
      <c r="AB87" s="102">
        <f t="shared" si="14"/>
        <v>1527.84</v>
      </c>
      <c r="AC87" s="102">
        <f t="shared" si="14"/>
        <v>1429.74</v>
      </c>
      <c r="AD87" s="102">
        <f t="shared" si="14"/>
        <v>1359.1399999999999</v>
      </c>
      <c r="AE87" s="102">
        <f t="shared" si="14"/>
        <v>1322.6399999999999</v>
      </c>
      <c r="AF87" s="102">
        <f t="shared" si="14"/>
        <v>1216.2399999999998</v>
      </c>
      <c r="AG87" s="68">
        <f t="shared" si="14"/>
        <v>2065.09</v>
      </c>
      <c r="AH87" s="52">
        <f>MAX(B87:AF87)</f>
        <v>1564.3400000000001</v>
      </c>
      <c r="AI87" s="53">
        <f>MIN(B87:AF87)</f>
        <v>1055.24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>
        <v>60</v>
      </c>
      <c r="Z88" s="104"/>
      <c r="AA88" s="104"/>
      <c r="AB88" s="104"/>
      <c r="AC88" s="104"/>
      <c r="AD88" s="104"/>
      <c r="AE88" s="104"/>
      <c r="AF88" s="104"/>
      <c r="AG88" s="95"/>
      <c r="AH88" s="52">
        <f t="shared" si="11"/>
        <v>60</v>
      </c>
      <c r="AI88" s="53">
        <f t="shared" si="12"/>
        <v>60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:AF89" si="15">B87+B88</f>
        <v>1156.04</v>
      </c>
      <c r="C89" s="102">
        <f t="shared" si="15"/>
        <v>1135.74</v>
      </c>
      <c r="D89" s="102">
        <f t="shared" si="15"/>
        <v>1069.24</v>
      </c>
      <c r="E89" s="102">
        <f t="shared" si="15"/>
        <v>1055.24</v>
      </c>
      <c r="F89" s="102">
        <f t="shared" si="15"/>
        <v>1110.04</v>
      </c>
      <c r="G89" s="102">
        <f t="shared" si="15"/>
        <v>1191.44</v>
      </c>
      <c r="H89" s="102">
        <f t="shared" si="15"/>
        <v>1193.3399999999999</v>
      </c>
      <c r="I89" s="102">
        <f t="shared" si="15"/>
        <v>1241.8400000000001</v>
      </c>
      <c r="J89" s="102">
        <f t="shared" si="15"/>
        <v>1304.3399999999999</v>
      </c>
      <c r="K89" s="102">
        <f t="shared" si="15"/>
        <v>1342.44</v>
      </c>
      <c r="L89" s="102">
        <f t="shared" si="15"/>
        <v>1392.34</v>
      </c>
      <c r="M89" s="102">
        <f t="shared" si="15"/>
        <v>1402.94</v>
      </c>
      <c r="N89" s="102">
        <f t="shared" si="15"/>
        <v>1347.64</v>
      </c>
      <c r="O89" s="102">
        <f t="shared" si="15"/>
        <v>1324.0400000000002</v>
      </c>
      <c r="P89" s="102">
        <f t="shared" si="15"/>
        <v>1334.44</v>
      </c>
      <c r="Q89" s="102">
        <f t="shared" si="15"/>
        <v>1331.8400000000001</v>
      </c>
      <c r="R89" s="102">
        <f t="shared" si="15"/>
        <v>1327.64</v>
      </c>
      <c r="S89" s="102">
        <f t="shared" si="15"/>
        <v>1302.8400000000001</v>
      </c>
      <c r="T89" s="102">
        <f t="shared" si="15"/>
        <v>1336.14</v>
      </c>
      <c r="U89" s="102">
        <f t="shared" si="15"/>
        <v>1319.3400000000001</v>
      </c>
      <c r="V89" s="102">
        <f t="shared" si="15"/>
        <v>1328.8400000000001</v>
      </c>
      <c r="W89" s="102">
        <f t="shared" si="15"/>
        <v>1341.0400000000002</v>
      </c>
      <c r="X89" s="102">
        <f t="shared" si="15"/>
        <v>1290.8400000000001</v>
      </c>
      <c r="Y89" s="102">
        <f t="shared" si="15"/>
        <v>1348.84</v>
      </c>
      <c r="Z89" s="102">
        <f t="shared" si="15"/>
        <v>1471.8400000000001</v>
      </c>
      <c r="AA89" s="102">
        <f t="shared" si="15"/>
        <v>1564.3400000000001</v>
      </c>
      <c r="AB89" s="102">
        <f t="shared" si="15"/>
        <v>1527.84</v>
      </c>
      <c r="AC89" s="102">
        <f t="shared" si="15"/>
        <v>1429.74</v>
      </c>
      <c r="AD89" s="102">
        <f t="shared" si="15"/>
        <v>1359.1399999999999</v>
      </c>
      <c r="AE89" s="102">
        <f t="shared" si="15"/>
        <v>1322.6399999999999</v>
      </c>
      <c r="AF89" s="102">
        <f t="shared" si="15"/>
        <v>1216.2399999999998</v>
      </c>
      <c r="AG89" s="95">
        <f>AG86+AG82+AG70+AG66+AG48+AG88</f>
        <v>1526.99</v>
      </c>
      <c r="AH89" s="52">
        <f t="shared" si="11"/>
        <v>1564.3400000000001</v>
      </c>
      <c r="AI89" s="53">
        <f t="shared" si="12"/>
        <v>1055.24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:AF90" si="16">B89-B97</f>
        <v>1156.04</v>
      </c>
      <c r="C90" s="102">
        <f t="shared" si="16"/>
        <v>1135.74</v>
      </c>
      <c r="D90" s="102">
        <f t="shared" si="16"/>
        <v>1069.24</v>
      </c>
      <c r="E90" s="102">
        <f t="shared" si="16"/>
        <v>1055.24</v>
      </c>
      <c r="F90" s="102">
        <f t="shared" si="16"/>
        <v>1110.04</v>
      </c>
      <c r="G90" s="102">
        <f t="shared" si="16"/>
        <v>1191.44</v>
      </c>
      <c r="H90" s="102">
        <f t="shared" si="16"/>
        <v>1193.3399999999999</v>
      </c>
      <c r="I90" s="102">
        <f t="shared" si="16"/>
        <v>1241.8400000000001</v>
      </c>
      <c r="J90" s="102">
        <f t="shared" si="16"/>
        <v>1304.3399999999999</v>
      </c>
      <c r="K90" s="102">
        <f t="shared" si="16"/>
        <v>1342.44</v>
      </c>
      <c r="L90" s="102">
        <f t="shared" si="16"/>
        <v>1392.34</v>
      </c>
      <c r="M90" s="102">
        <f t="shared" si="16"/>
        <v>1402.94</v>
      </c>
      <c r="N90" s="102">
        <f t="shared" si="16"/>
        <v>1347.64</v>
      </c>
      <c r="O90" s="102">
        <f t="shared" si="16"/>
        <v>1324.0400000000002</v>
      </c>
      <c r="P90" s="102">
        <f t="shared" si="16"/>
        <v>1334.44</v>
      </c>
      <c r="Q90" s="102">
        <f t="shared" si="16"/>
        <v>1331.8400000000001</v>
      </c>
      <c r="R90" s="102">
        <f t="shared" si="16"/>
        <v>1327.64</v>
      </c>
      <c r="S90" s="102">
        <f t="shared" si="16"/>
        <v>1302.8400000000001</v>
      </c>
      <c r="T90" s="102">
        <f t="shared" si="16"/>
        <v>1336.14</v>
      </c>
      <c r="U90" s="102">
        <f t="shared" si="16"/>
        <v>1319.3400000000001</v>
      </c>
      <c r="V90" s="102">
        <f t="shared" si="16"/>
        <v>1328.8400000000001</v>
      </c>
      <c r="W90" s="102">
        <f t="shared" si="16"/>
        <v>1341.0400000000002</v>
      </c>
      <c r="X90" s="102">
        <f t="shared" si="16"/>
        <v>1290.8400000000001</v>
      </c>
      <c r="Y90" s="102">
        <f t="shared" si="16"/>
        <v>1348.84</v>
      </c>
      <c r="Z90" s="102">
        <f t="shared" si="16"/>
        <v>1471.8400000000001</v>
      </c>
      <c r="AA90" s="102">
        <f t="shared" si="16"/>
        <v>1564.3400000000001</v>
      </c>
      <c r="AB90" s="102">
        <f t="shared" si="16"/>
        <v>1527.84</v>
      </c>
      <c r="AC90" s="102">
        <f t="shared" si="16"/>
        <v>1429.74</v>
      </c>
      <c r="AD90" s="102">
        <f t="shared" si="16"/>
        <v>1359.1399999999999</v>
      </c>
      <c r="AE90" s="102">
        <f t="shared" si="16"/>
        <v>1322.6399999999999</v>
      </c>
      <c r="AF90" s="102">
        <f t="shared" si="16"/>
        <v>1216.2399999999998</v>
      </c>
      <c r="AG90" s="95"/>
      <c r="AH90" s="52">
        <f t="shared" si="11"/>
        <v>1564.3400000000001</v>
      </c>
      <c r="AI90" s="53">
        <f t="shared" si="12"/>
        <v>1055.24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1"/>
        <v>0</v>
      </c>
      <c r="AI91" s="53">
        <f t="shared" si="12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1"/>
        <v>0</v>
      </c>
      <c r="AI92" s="53">
        <f t="shared" si="12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1"/>
        <v>0</v>
      </c>
      <c r="AI93" s="53">
        <f t="shared" si="12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1"/>
        <v>0</v>
      </c>
      <c r="AI94" s="53">
        <f t="shared" si="12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1"/>
        <v>0</v>
      </c>
      <c r="AI95" s="53">
        <f t="shared" si="12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1"/>
        <v>0</v>
      </c>
      <c r="AI96" s="53">
        <f t="shared" si="12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1"/>
        <v>0</v>
      </c>
      <c r="AI97" s="53">
        <f t="shared" si="12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:AF98" si="17">B82-B97</f>
        <v>515.1</v>
      </c>
      <c r="C98" s="67">
        <f t="shared" si="17"/>
        <v>495.3</v>
      </c>
      <c r="D98" s="67">
        <f t="shared" si="17"/>
        <v>451.8</v>
      </c>
      <c r="E98" s="67">
        <f t="shared" si="17"/>
        <v>438</v>
      </c>
      <c r="F98" s="67">
        <f t="shared" si="17"/>
        <v>353.8</v>
      </c>
      <c r="G98" s="67">
        <f t="shared" si="17"/>
        <v>347.4</v>
      </c>
      <c r="H98" s="67">
        <f t="shared" si="17"/>
        <v>337.3</v>
      </c>
      <c r="I98" s="67">
        <f t="shared" si="17"/>
        <v>362.2</v>
      </c>
      <c r="J98" s="67">
        <f t="shared" si="17"/>
        <v>369.8</v>
      </c>
      <c r="K98" s="67">
        <f t="shared" si="17"/>
        <v>380.5</v>
      </c>
      <c r="L98" s="67">
        <f t="shared" si="17"/>
        <v>404</v>
      </c>
      <c r="M98" s="67">
        <f t="shared" si="17"/>
        <v>393.1</v>
      </c>
      <c r="N98" s="67">
        <f t="shared" si="17"/>
        <v>441.8</v>
      </c>
      <c r="O98" s="67">
        <f t="shared" si="17"/>
        <v>437.2</v>
      </c>
      <c r="P98" s="67">
        <f t="shared" si="17"/>
        <v>441.2</v>
      </c>
      <c r="Q98" s="67">
        <f t="shared" si="17"/>
        <v>432.40000000000003</v>
      </c>
      <c r="R98" s="67">
        <f t="shared" si="17"/>
        <v>413.2</v>
      </c>
      <c r="S98" s="67">
        <f t="shared" si="17"/>
        <v>380.5</v>
      </c>
      <c r="T98" s="67">
        <f t="shared" si="17"/>
        <v>369.4</v>
      </c>
      <c r="U98" s="67">
        <f t="shared" si="17"/>
        <v>384.2</v>
      </c>
      <c r="V98" s="67">
        <f t="shared" si="17"/>
        <v>367.8</v>
      </c>
      <c r="W98" s="67">
        <f t="shared" si="17"/>
        <v>401</v>
      </c>
      <c r="X98" s="67">
        <f t="shared" si="17"/>
        <v>352</v>
      </c>
      <c r="Y98" s="67">
        <f t="shared" si="17"/>
        <v>339.3</v>
      </c>
      <c r="Z98" s="67">
        <f t="shared" si="17"/>
        <v>363.6</v>
      </c>
      <c r="AA98" s="67">
        <f t="shared" si="17"/>
        <v>360.4</v>
      </c>
      <c r="AB98" s="67">
        <f t="shared" si="17"/>
        <v>387.2</v>
      </c>
      <c r="AC98" s="67">
        <f t="shared" si="17"/>
        <v>385</v>
      </c>
      <c r="AD98" s="67">
        <f t="shared" si="17"/>
        <v>344</v>
      </c>
      <c r="AE98" s="67">
        <f t="shared" si="17"/>
        <v>393</v>
      </c>
      <c r="AF98" s="67">
        <f t="shared" si="17"/>
        <v>393</v>
      </c>
      <c r="AG98" s="95"/>
      <c r="AH98" s="52">
        <f t="shared" si="11"/>
        <v>515.1</v>
      </c>
      <c r="AI98" s="53">
        <f t="shared" si="12"/>
        <v>337.3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50.03</v>
      </c>
      <c r="C99" s="108">
        <v>49.95</v>
      </c>
      <c r="D99" s="108">
        <v>49.988999999999997</v>
      </c>
      <c r="E99" s="108">
        <v>49.984000000000002</v>
      </c>
      <c r="F99" s="108">
        <v>50.029000000000003</v>
      </c>
      <c r="G99" s="108">
        <v>49.984999999999999</v>
      </c>
      <c r="H99" s="108">
        <v>49.886000000000003</v>
      </c>
      <c r="I99" s="108">
        <v>49.904000000000003</v>
      </c>
      <c r="J99" s="108">
        <v>49.930999999999997</v>
      </c>
      <c r="K99" s="108">
        <v>50.051000000000002</v>
      </c>
      <c r="L99" s="108">
        <v>49.957000000000001</v>
      </c>
      <c r="M99" s="108">
        <v>49.988999999999997</v>
      </c>
      <c r="N99" s="108">
        <v>50.106000000000002</v>
      </c>
      <c r="O99" s="108">
        <v>50.01</v>
      </c>
      <c r="P99" s="108">
        <v>49.975999999999999</v>
      </c>
      <c r="Q99" s="108">
        <v>49.984999999999999</v>
      </c>
      <c r="R99" s="108">
        <v>49.970999999999997</v>
      </c>
      <c r="S99" s="108">
        <v>49.920999999999999</v>
      </c>
      <c r="T99" s="108">
        <v>50.094000000000001</v>
      </c>
      <c r="U99" s="108">
        <v>49.962000000000003</v>
      </c>
      <c r="V99" s="108">
        <v>49.972999999999999</v>
      </c>
      <c r="W99" s="108">
        <v>50.067999999999998</v>
      </c>
      <c r="X99" s="108">
        <v>49.94</v>
      </c>
      <c r="Y99" s="108">
        <v>50.078000000000003</v>
      </c>
      <c r="Z99" s="108">
        <v>50.110999999999997</v>
      </c>
      <c r="AA99" s="108">
        <v>50.036000000000001</v>
      </c>
      <c r="AB99" s="108">
        <v>49.99</v>
      </c>
      <c r="AC99" s="108">
        <v>50.02</v>
      </c>
      <c r="AD99" s="108">
        <v>49.83</v>
      </c>
      <c r="AE99" s="108">
        <v>50</v>
      </c>
      <c r="AF99" s="108">
        <v>50.03</v>
      </c>
      <c r="AG99" s="109"/>
      <c r="AH99" s="52">
        <f t="shared" si="11"/>
        <v>50.110999999999997</v>
      </c>
      <c r="AI99" s="53">
        <f t="shared" si="12"/>
        <v>49.83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126.1</v>
      </c>
      <c r="C100" s="72">
        <v>124.8</v>
      </c>
      <c r="D100" s="72">
        <v>124.7</v>
      </c>
      <c r="E100" s="72">
        <v>124.1</v>
      </c>
      <c r="F100" s="72">
        <v>124.1</v>
      </c>
      <c r="G100" s="72">
        <v>124.4</v>
      </c>
      <c r="H100" s="72">
        <v>124.4</v>
      </c>
      <c r="I100" s="72">
        <v>124.4</v>
      </c>
      <c r="J100" s="72">
        <v>124.6</v>
      </c>
      <c r="K100" s="72">
        <v>124.7</v>
      </c>
      <c r="L100" s="72">
        <v>122.3</v>
      </c>
      <c r="M100" s="72">
        <v>122.9</v>
      </c>
      <c r="N100" s="72">
        <v>123.3</v>
      </c>
      <c r="O100" s="72">
        <v>124.7</v>
      </c>
      <c r="P100" s="72">
        <v>123.7</v>
      </c>
      <c r="Q100" s="72">
        <v>123.6</v>
      </c>
      <c r="R100" s="72">
        <v>123.8</v>
      </c>
      <c r="S100" s="72">
        <v>122.6</v>
      </c>
      <c r="T100" s="72">
        <v>122.6</v>
      </c>
      <c r="U100" s="72">
        <v>122.9</v>
      </c>
      <c r="V100" s="72">
        <v>122.9</v>
      </c>
      <c r="W100" s="72">
        <v>121.4</v>
      </c>
      <c r="X100" s="72">
        <v>124.7</v>
      </c>
      <c r="Y100" s="72">
        <v>126.8</v>
      </c>
      <c r="Z100" s="72">
        <v>124.1</v>
      </c>
      <c r="AA100" s="72">
        <v>126.1</v>
      </c>
      <c r="AB100" s="72">
        <v>126.2</v>
      </c>
      <c r="AC100" s="72">
        <v>125</v>
      </c>
      <c r="AD100" s="72">
        <v>125</v>
      </c>
      <c r="AE100" s="72">
        <v>125</v>
      </c>
      <c r="AF100" s="72">
        <v>126</v>
      </c>
      <c r="AG100" s="111"/>
      <c r="AH100" s="52">
        <f t="shared" si="11"/>
        <v>126.8</v>
      </c>
      <c r="AI100" s="53">
        <f t="shared" si="12"/>
        <v>121.4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130.6</v>
      </c>
      <c r="C101" s="72">
        <v>130.5</v>
      </c>
      <c r="D101" s="72">
        <v>129.80000000000001</v>
      </c>
      <c r="E101" s="72">
        <v>129.30000000000001</v>
      </c>
      <c r="F101" s="72">
        <v>129.30000000000001</v>
      </c>
      <c r="G101" s="72">
        <v>129</v>
      </c>
      <c r="H101" s="72">
        <v>129</v>
      </c>
      <c r="I101" s="72">
        <v>129</v>
      </c>
      <c r="J101" s="72">
        <v>128.4</v>
      </c>
      <c r="K101" s="72">
        <v>127.5</v>
      </c>
      <c r="L101" s="72">
        <v>125.9</v>
      </c>
      <c r="M101" s="72">
        <v>126.6</v>
      </c>
      <c r="N101" s="72">
        <v>127.1</v>
      </c>
      <c r="O101" s="72">
        <v>128.30000000000001</v>
      </c>
      <c r="P101" s="72">
        <v>127.7</v>
      </c>
      <c r="Q101" s="72">
        <v>127.3</v>
      </c>
      <c r="R101" s="72">
        <v>127.3</v>
      </c>
      <c r="S101" s="72">
        <v>127</v>
      </c>
      <c r="T101" s="72">
        <v>127</v>
      </c>
      <c r="U101" s="72">
        <v>126.9</v>
      </c>
      <c r="V101" s="72">
        <v>126.9</v>
      </c>
      <c r="W101" s="72">
        <v>126.4</v>
      </c>
      <c r="X101" s="72">
        <v>128.5</v>
      </c>
      <c r="Y101" s="72">
        <v>129.80000000000001</v>
      </c>
      <c r="Z101" s="72">
        <v>127.2</v>
      </c>
      <c r="AA101" s="72">
        <v>129.19999999999999</v>
      </c>
      <c r="AB101" s="72">
        <v>130.19999999999999</v>
      </c>
      <c r="AC101" s="72">
        <v>129</v>
      </c>
      <c r="AD101" s="72">
        <v>129</v>
      </c>
      <c r="AE101" s="72">
        <v>129</v>
      </c>
      <c r="AF101" s="72">
        <v>131</v>
      </c>
      <c r="AG101" s="111"/>
      <c r="AH101" s="52">
        <f t="shared" si="11"/>
        <v>131</v>
      </c>
      <c r="AI101" s="53">
        <f t="shared" si="12"/>
        <v>125.9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128.5</v>
      </c>
      <c r="C102" s="72">
        <v>128.69999999999999</v>
      </c>
      <c r="D102" s="72">
        <v>128.19999999999999</v>
      </c>
      <c r="E102" s="72">
        <v>130.19999999999999</v>
      </c>
      <c r="F102" s="72">
        <v>130.19999999999999</v>
      </c>
      <c r="G102" s="72">
        <v>128.1</v>
      </c>
      <c r="H102" s="72">
        <v>128.1</v>
      </c>
      <c r="I102" s="72">
        <v>128.1</v>
      </c>
      <c r="J102" s="72">
        <v>128.4</v>
      </c>
      <c r="K102" s="72">
        <v>125.9</v>
      </c>
      <c r="L102" s="72">
        <v>125.5</v>
      </c>
      <c r="M102" s="72">
        <v>125.1</v>
      </c>
      <c r="N102" s="72">
        <v>124.3</v>
      </c>
      <c r="O102" s="72">
        <v>124.7</v>
      </c>
      <c r="P102" s="72">
        <v>123.8</v>
      </c>
      <c r="Q102" s="72">
        <v>125.8</v>
      </c>
      <c r="R102" s="72">
        <v>125.5</v>
      </c>
      <c r="S102" s="72">
        <v>121.8</v>
      </c>
      <c r="T102" s="72">
        <v>121.8</v>
      </c>
      <c r="U102" s="72">
        <v>126.4</v>
      </c>
      <c r="V102" s="72">
        <v>126.4</v>
      </c>
      <c r="W102" s="72">
        <v>130.19999999999999</v>
      </c>
      <c r="X102" s="72">
        <v>128.4</v>
      </c>
      <c r="Y102" s="72">
        <v>129.6</v>
      </c>
      <c r="Z102" s="72">
        <v>123.7</v>
      </c>
      <c r="AA102" s="72">
        <v>128.9</v>
      </c>
      <c r="AB102" s="72">
        <v>128.9</v>
      </c>
      <c r="AC102" s="72">
        <v>128</v>
      </c>
      <c r="AD102" s="72">
        <v>128</v>
      </c>
      <c r="AE102" s="72">
        <v>128</v>
      </c>
      <c r="AF102" s="72">
        <v>131</v>
      </c>
      <c r="AG102" s="111"/>
      <c r="AH102" s="52">
        <f t="shared" si="11"/>
        <v>131</v>
      </c>
      <c r="AI102" s="53">
        <f t="shared" si="12"/>
        <v>121.8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1"/>
        <v>0</v>
      </c>
      <c r="AI103" s="53">
        <f t="shared" si="12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130.69999999999999</v>
      </c>
      <c r="C104" s="113">
        <v>129.9</v>
      </c>
      <c r="D104" s="113">
        <v>127</v>
      </c>
      <c r="E104" s="113">
        <v>129</v>
      </c>
      <c r="F104" s="113">
        <v>129</v>
      </c>
      <c r="G104" s="113">
        <v>131.1</v>
      </c>
      <c r="H104" s="113">
        <v>131.1</v>
      </c>
      <c r="I104" s="113">
        <v>131.1</v>
      </c>
      <c r="J104" s="113">
        <v>133.19999999999999</v>
      </c>
      <c r="K104" s="113">
        <v>133.69999999999999</v>
      </c>
      <c r="L104" s="113">
        <v>132.6</v>
      </c>
      <c r="M104" s="113">
        <v>134.4</v>
      </c>
      <c r="N104" s="113">
        <v>133.9</v>
      </c>
      <c r="O104" s="113">
        <v>132.9</v>
      </c>
      <c r="P104" s="113">
        <v>135</v>
      </c>
      <c r="Q104" s="113">
        <v>132.6</v>
      </c>
      <c r="R104" s="113">
        <v>131</v>
      </c>
      <c r="S104" s="113">
        <v>128.9</v>
      </c>
      <c r="T104" s="113">
        <v>128.9</v>
      </c>
      <c r="U104" s="113">
        <v>133.19999999999999</v>
      </c>
      <c r="V104" s="113">
        <v>133.19999999999999</v>
      </c>
      <c r="W104" s="113">
        <v>134.1</v>
      </c>
      <c r="X104" s="113">
        <v>134.4</v>
      </c>
      <c r="Y104" s="113">
        <v>136</v>
      </c>
      <c r="Z104" s="113">
        <v>132.1</v>
      </c>
      <c r="AA104" s="113">
        <v>134.6</v>
      </c>
      <c r="AB104" s="113">
        <v>133.80000000000001</v>
      </c>
      <c r="AC104" s="113">
        <v>133</v>
      </c>
      <c r="AD104" s="113">
        <v>133</v>
      </c>
      <c r="AE104" s="113">
        <v>133</v>
      </c>
      <c r="AF104" s="113">
        <v>131.80000000000001</v>
      </c>
      <c r="AG104" s="114"/>
      <c r="AH104" s="52">
        <f t="shared" si="11"/>
        <v>136</v>
      </c>
      <c r="AI104" s="53">
        <f t="shared" si="12"/>
        <v>127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134.6</v>
      </c>
      <c r="C105" s="72">
        <v>130.9</v>
      </c>
      <c r="D105" s="72">
        <v>134</v>
      </c>
      <c r="E105" s="72">
        <v>133.69999999999999</v>
      </c>
      <c r="F105" s="72">
        <v>133.69999999999999</v>
      </c>
      <c r="G105" s="72">
        <v>132.1</v>
      </c>
      <c r="H105" s="72">
        <v>132.1</v>
      </c>
      <c r="I105" s="72">
        <v>132.1</v>
      </c>
      <c r="J105" s="72">
        <v>126.5</v>
      </c>
      <c r="K105" s="72">
        <v>128</v>
      </c>
      <c r="L105" s="72">
        <v>132.9</v>
      </c>
      <c r="M105" s="72">
        <v>128</v>
      </c>
      <c r="N105" s="72">
        <v>128</v>
      </c>
      <c r="O105" s="72">
        <v>126.3</v>
      </c>
      <c r="P105" s="72">
        <v>126.9</v>
      </c>
      <c r="Q105" s="72">
        <v>125.3</v>
      </c>
      <c r="R105" s="72">
        <v>131.5</v>
      </c>
      <c r="S105" s="72">
        <v>132.1</v>
      </c>
      <c r="T105" s="72">
        <v>132.1</v>
      </c>
      <c r="U105" s="72">
        <v>122.1</v>
      </c>
      <c r="V105" s="72">
        <v>122.1</v>
      </c>
      <c r="W105" s="72">
        <v>127.1</v>
      </c>
      <c r="X105" s="72">
        <v>135.5</v>
      </c>
      <c r="Y105" s="72">
        <v>129.6</v>
      </c>
      <c r="Z105" s="72">
        <v>127.3</v>
      </c>
      <c r="AA105" s="72">
        <v>130.6</v>
      </c>
      <c r="AB105" s="72">
        <v>128.5</v>
      </c>
      <c r="AC105" s="72">
        <v>133</v>
      </c>
      <c r="AD105" s="72">
        <v>133</v>
      </c>
      <c r="AE105" s="72">
        <v>133</v>
      </c>
      <c r="AF105" s="72">
        <v>133</v>
      </c>
      <c r="AG105" s="111"/>
      <c r="AH105" s="52">
        <f t="shared" si="11"/>
        <v>135.5</v>
      </c>
      <c r="AI105" s="53">
        <f t="shared" si="12"/>
        <v>122.1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65.400000000000006</v>
      </c>
      <c r="C106" s="99">
        <v>65.099999999999994</v>
      </c>
      <c r="D106" s="99">
        <v>65</v>
      </c>
      <c r="E106" s="99">
        <v>64.900000000000006</v>
      </c>
      <c r="F106" s="99">
        <v>64.900000000000006</v>
      </c>
      <c r="G106" s="99">
        <v>64.900000000000006</v>
      </c>
      <c r="H106" s="99">
        <v>64.900000000000006</v>
      </c>
      <c r="I106" s="99">
        <v>64.900000000000006</v>
      </c>
      <c r="J106" s="99">
        <v>64.5</v>
      </c>
      <c r="K106" s="99">
        <v>63.7</v>
      </c>
      <c r="L106" s="99">
        <v>63.2</v>
      </c>
      <c r="M106" s="99">
        <v>63.5</v>
      </c>
      <c r="N106" s="99">
        <v>63.8</v>
      </c>
      <c r="O106" s="99">
        <v>64.099999999999994</v>
      </c>
      <c r="P106" s="99">
        <v>64</v>
      </c>
      <c r="Q106" s="99">
        <v>63.6</v>
      </c>
      <c r="R106" s="99">
        <v>63.9</v>
      </c>
      <c r="S106" s="99">
        <v>63.6</v>
      </c>
      <c r="T106" s="99">
        <v>63.6</v>
      </c>
      <c r="U106" s="99">
        <v>63.3</v>
      </c>
      <c r="V106" s="99">
        <v>63.3</v>
      </c>
      <c r="W106" s="99">
        <v>63.1</v>
      </c>
      <c r="X106" s="99">
        <v>64.099999999999994</v>
      </c>
      <c r="Y106" s="99">
        <v>65</v>
      </c>
      <c r="Z106" s="99">
        <v>64.2</v>
      </c>
      <c r="AA106" s="99">
        <v>64.7</v>
      </c>
      <c r="AB106" s="99">
        <v>65.400000000000006</v>
      </c>
      <c r="AC106" s="99">
        <v>65.099999999999994</v>
      </c>
      <c r="AD106" s="99">
        <v>65.099999999999994</v>
      </c>
      <c r="AE106" s="99">
        <v>65.099999999999994</v>
      </c>
      <c r="AF106" s="99">
        <v>65.2</v>
      </c>
      <c r="AG106" s="115"/>
      <c r="AH106" s="52">
        <f t="shared" si="11"/>
        <v>65.400000000000006</v>
      </c>
      <c r="AI106" s="53">
        <f t="shared" si="12"/>
        <v>63.1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1"/>
        <v>0</v>
      </c>
      <c r="AI107" s="53">
        <f t="shared" si="12"/>
        <v>0</v>
      </c>
    </row>
    <row r="108" spans="1:88" ht="15.75" thickBot="1" x14ac:dyDescent="0.3">
      <c r="A108" s="117" t="s">
        <v>116</v>
      </c>
      <c r="B108" s="118">
        <f t="shared" ref="B108:AF108" si="18">SUM(B18,B24,B27:B28,B56,B58:B59,B61,B63,B109:B113,B135,B141,B147,B156,B158,B170,B177,B180:B181,B188,B190,B192,B196:B198,B200:B202,B207,B213:B214,B216:B218,B226,B231)</f>
        <v>89.600000000000009</v>
      </c>
      <c r="C108" s="118">
        <f t="shared" si="18"/>
        <v>84.34</v>
      </c>
      <c r="D108" s="118">
        <f t="shared" si="18"/>
        <v>80.34</v>
      </c>
      <c r="E108" s="118">
        <f t="shared" si="18"/>
        <v>89.140000000000015</v>
      </c>
      <c r="F108" s="118">
        <f t="shared" si="18"/>
        <v>104.34</v>
      </c>
      <c r="G108" s="118">
        <f t="shared" si="18"/>
        <v>145.34</v>
      </c>
      <c r="H108" s="118">
        <f t="shared" si="18"/>
        <v>162.53999999999996</v>
      </c>
      <c r="I108" s="118">
        <f t="shared" si="18"/>
        <v>191.14</v>
      </c>
      <c r="J108" s="118">
        <f t="shared" si="18"/>
        <v>227.34000000000003</v>
      </c>
      <c r="K108" s="118">
        <f t="shared" si="18"/>
        <v>261.83999999999997</v>
      </c>
      <c r="L108" s="118">
        <f t="shared" si="18"/>
        <v>277.74000000000007</v>
      </c>
      <c r="M108" s="118">
        <f t="shared" si="18"/>
        <v>285.64000000000004</v>
      </c>
      <c r="N108" s="118">
        <f t="shared" si="18"/>
        <v>265.04000000000002</v>
      </c>
      <c r="O108" s="118">
        <f t="shared" si="18"/>
        <v>267.44</v>
      </c>
      <c r="P108" s="118">
        <v>42</v>
      </c>
      <c r="Q108" s="118">
        <f t="shared" si="18"/>
        <v>264.2</v>
      </c>
      <c r="R108" s="118">
        <f t="shared" si="18"/>
        <v>252.70000000000002</v>
      </c>
      <c r="S108" s="118">
        <f t="shared" si="18"/>
        <v>235</v>
      </c>
      <c r="T108" s="118">
        <f t="shared" si="18"/>
        <v>235.8</v>
      </c>
      <c r="U108" s="118">
        <f t="shared" si="18"/>
        <v>229.79999999999998</v>
      </c>
      <c r="V108" s="118">
        <f t="shared" si="18"/>
        <v>223.70000000000002</v>
      </c>
      <c r="W108" s="118">
        <f t="shared" si="18"/>
        <v>214.8</v>
      </c>
      <c r="X108" s="118">
        <f t="shared" si="18"/>
        <v>221.6</v>
      </c>
      <c r="Y108" s="118">
        <f t="shared" si="18"/>
        <v>234.2</v>
      </c>
      <c r="Z108" s="118">
        <f t="shared" si="18"/>
        <v>302.39999999999998</v>
      </c>
      <c r="AA108" s="118">
        <f t="shared" si="18"/>
        <v>293.10000000000002</v>
      </c>
      <c r="AB108" s="118">
        <f t="shared" si="18"/>
        <v>237.10000000000002</v>
      </c>
      <c r="AC108" s="118">
        <f t="shared" si="18"/>
        <v>220</v>
      </c>
      <c r="AD108" s="118">
        <f t="shared" si="18"/>
        <v>227.5</v>
      </c>
      <c r="AE108" s="118">
        <f t="shared" si="18"/>
        <v>157.1</v>
      </c>
      <c r="AF108" s="118">
        <f t="shared" si="18"/>
        <v>120.3</v>
      </c>
      <c r="AG108" s="119"/>
      <c r="AH108" s="52">
        <f t="shared" si="11"/>
        <v>302.39999999999998</v>
      </c>
      <c r="AI108" s="53">
        <f t="shared" si="12"/>
        <v>42</v>
      </c>
    </row>
    <row r="109" spans="1:88" x14ac:dyDescent="0.25">
      <c r="A109" s="107" t="s">
        <v>117</v>
      </c>
      <c r="B109" s="120">
        <v>-1.6</v>
      </c>
      <c r="C109" s="120">
        <v>2.4</v>
      </c>
      <c r="D109" s="120">
        <v>7.7</v>
      </c>
      <c r="E109" s="120">
        <v>8.6</v>
      </c>
      <c r="F109" s="120">
        <v>3.7</v>
      </c>
      <c r="G109" s="120">
        <v>6.4</v>
      </c>
      <c r="H109" s="120">
        <v>3</v>
      </c>
      <c r="I109" s="120">
        <v>9.1999999999999993</v>
      </c>
      <c r="J109" s="120">
        <v>21.6</v>
      </c>
      <c r="K109" s="120">
        <v>29.8</v>
      </c>
      <c r="L109" s="120">
        <v>29.9</v>
      </c>
      <c r="M109" s="120">
        <v>38.1</v>
      </c>
      <c r="N109" s="120">
        <v>33</v>
      </c>
      <c r="O109" s="120">
        <v>30.2</v>
      </c>
      <c r="P109" s="120">
        <v>31.1</v>
      </c>
      <c r="Q109" s="120">
        <v>32.9</v>
      </c>
      <c r="R109" s="120">
        <v>31.5</v>
      </c>
      <c r="S109" s="120">
        <v>25.9</v>
      </c>
      <c r="T109" s="120">
        <v>22.4</v>
      </c>
      <c r="U109" s="120">
        <v>23.7</v>
      </c>
      <c r="V109" s="120">
        <v>29.1</v>
      </c>
      <c r="W109" s="120">
        <v>21.8</v>
      </c>
      <c r="X109" s="120">
        <v>18.2</v>
      </c>
      <c r="Y109" s="120">
        <v>20.399999999999999</v>
      </c>
      <c r="Z109" s="120">
        <v>40.4</v>
      </c>
      <c r="AA109" s="120">
        <v>28.8</v>
      </c>
      <c r="AB109" s="120">
        <v>25.6</v>
      </c>
      <c r="AC109" s="120">
        <v>40</v>
      </c>
      <c r="AD109" s="120">
        <v>40</v>
      </c>
      <c r="AE109" s="120">
        <v>18</v>
      </c>
      <c r="AF109" s="120">
        <v>-4</v>
      </c>
      <c r="AG109" s="121">
        <v>75</v>
      </c>
      <c r="AH109" s="52">
        <f t="shared" si="11"/>
        <v>40.4</v>
      </c>
      <c r="AI109" s="53">
        <f t="shared" si="12"/>
        <v>-4</v>
      </c>
    </row>
    <row r="110" spans="1:88" x14ac:dyDescent="0.25">
      <c r="A110" s="110" t="s">
        <v>118</v>
      </c>
      <c r="B110" s="122">
        <v>6.5</v>
      </c>
      <c r="C110" s="122">
        <v>9.6</v>
      </c>
      <c r="D110" s="122">
        <v>20.7</v>
      </c>
      <c r="E110" s="122">
        <v>21.8</v>
      </c>
      <c r="F110" s="122">
        <v>15.7</v>
      </c>
      <c r="G110" s="122">
        <v>18.2</v>
      </c>
      <c r="H110" s="122">
        <v>12.4</v>
      </c>
      <c r="I110" s="122">
        <v>19.600000000000001</v>
      </c>
      <c r="J110" s="122">
        <v>37.5</v>
      </c>
      <c r="K110" s="122">
        <v>45.5</v>
      </c>
      <c r="L110" s="122">
        <v>45.3</v>
      </c>
      <c r="M110" s="122">
        <v>56.7</v>
      </c>
      <c r="N110" s="122">
        <v>47.3</v>
      </c>
      <c r="O110" s="122">
        <v>44.3</v>
      </c>
      <c r="P110" s="122">
        <v>49.5</v>
      </c>
      <c r="Q110" s="122">
        <v>47.6</v>
      </c>
      <c r="R110" s="122">
        <v>47</v>
      </c>
      <c r="S110" s="122">
        <v>38.5</v>
      </c>
      <c r="T110" s="122">
        <v>35.1</v>
      </c>
      <c r="U110" s="122">
        <v>35.799999999999997</v>
      </c>
      <c r="V110" s="122">
        <v>42.9</v>
      </c>
      <c r="W110" s="122">
        <v>32.6</v>
      </c>
      <c r="X110" s="122">
        <v>29.2</v>
      </c>
      <c r="Y110" s="122">
        <v>30.1</v>
      </c>
      <c r="Z110" s="122">
        <v>57.8</v>
      </c>
      <c r="AA110" s="122">
        <v>42.9</v>
      </c>
      <c r="AB110" s="122">
        <v>39.200000000000003</v>
      </c>
      <c r="AC110" s="122">
        <v>27</v>
      </c>
      <c r="AD110" s="122">
        <v>27</v>
      </c>
      <c r="AE110" s="122">
        <v>9.4</v>
      </c>
      <c r="AF110" s="122">
        <v>-8</v>
      </c>
      <c r="AG110" s="121">
        <v>240</v>
      </c>
      <c r="AH110" s="52">
        <f t="shared" si="11"/>
        <v>57.8</v>
      </c>
      <c r="AI110" s="53">
        <f t="shared" si="12"/>
        <v>-8</v>
      </c>
    </row>
    <row r="111" spans="1:88" x14ac:dyDescent="0.25">
      <c r="A111" s="110" t="s">
        <v>119</v>
      </c>
      <c r="B111" s="122">
        <v>-75</v>
      </c>
      <c r="C111" s="122">
        <v>-80</v>
      </c>
      <c r="D111" s="122">
        <v>-83</v>
      </c>
      <c r="E111" s="122">
        <v>-86</v>
      </c>
      <c r="F111" s="122">
        <v>-85.1</v>
      </c>
      <c r="G111" s="122">
        <v>-72.7</v>
      </c>
      <c r="H111" s="122">
        <v>-60.9</v>
      </c>
      <c r="I111" s="122">
        <v>-53.8</v>
      </c>
      <c r="J111" s="122">
        <v>-50.7</v>
      </c>
      <c r="K111" s="122">
        <v>-37.700000000000003</v>
      </c>
      <c r="L111" s="122">
        <v>-31.1</v>
      </c>
      <c r="M111" s="122">
        <v>-34.9</v>
      </c>
      <c r="N111" s="122">
        <v>-42</v>
      </c>
      <c r="O111" s="122">
        <v>-33</v>
      </c>
      <c r="P111" s="122">
        <v>-41.1</v>
      </c>
      <c r="Q111" s="122">
        <v>-40.4</v>
      </c>
      <c r="R111" s="122">
        <v>-47</v>
      </c>
      <c r="S111" s="122">
        <v>-52</v>
      </c>
      <c r="T111" s="122">
        <v>-47.7</v>
      </c>
      <c r="U111" s="122">
        <v>-56.6</v>
      </c>
      <c r="V111" s="122">
        <v>-60.5</v>
      </c>
      <c r="W111" s="122">
        <v>-62</v>
      </c>
      <c r="X111" s="122">
        <v>-50</v>
      </c>
      <c r="Y111" s="122">
        <v>-38</v>
      </c>
      <c r="Z111" s="122">
        <v>-35</v>
      </c>
      <c r="AA111" s="122">
        <v>-45</v>
      </c>
      <c r="AB111" s="122">
        <f>-33.8-18.4</f>
        <v>-52.199999999999996</v>
      </c>
      <c r="AC111" s="122">
        <v>-57</v>
      </c>
      <c r="AD111" s="122">
        <v>-57</v>
      </c>
      <c r="AE111" s="122">
        <v>-77</v>
      </c>
      <c r="AF111" s="122">
        <v>-74</v>
      </c>
      <c r="AG111" s="121">
        <v>240</v>
      </c>
      <c r="AH111" s="52">
        <f t="shared" si="11"/>
        <v>-31.1</v>
      </c>
      <c r="AI111" s="53">
        <f t="shared" si="12"/>
        <v>-86</v>
      </c>
    </row>
    <row r="112" spans="1:88" x14ac:dyDescent="0.25">
      <c r="A112" s="110" t="s">
        <v>120</v>
      </c>
      <c r="B112" s="122">
        <v>-4.2</v>
      </c>
      <c r="C112" s="122">
        <v>-4.7</v>
      </c>
      <c r="D112" s="122">
        <v>-8.6999999999999993</v>
      </c>
      <c r="E112" s="122">
        <v>-7.4</v>
      </c>
      <c r="F112" s="122">
        <v>-7.1</v>
      </c>
      <c r="G112" s="122">
        <v>1.1000000000000001</v>
      </c>
      <c r="H112" s="122">
        <v>2.2999999999999998</v>
      </c>
      <c r="I112" s="122">
        <v>4.8</v>
      </c>
      <c r="J112" s="122">
        <v>6.9</v>
      </c>
      <c r="K112" s="122">
        <v>9.1999999999999993</v>
      </c>
      <c r="L112" s="122">
        <v>5.4</v>
      </c>
      <c r="M112" s="122">
        <v>6</v>
      </c>
      <c r="N112" s="122">
        <v>4.5</v>
      </c>
      <c r="O112" s="122">
        <v>6.5</v>
      </c>
      <c r="P112" s="122">
        <v>0.3</v>
      </c>
      <c r="Q112" s="122">
        <v>2.4</v>
      </c>
      <c r="R112" s="122">
        <v>7.9</v>
      </c>
      <c r="S112" s="122">
        <v>8</v>
      </c>
      <c r="T112" s="122">
        <v>5.3</v>
      </c>
      <c r="U112" s="122">
        <v>7.2</v>
      </c>
      <c r="V112" s="122">
        <v>7.5</v>
      </c>
      <c r="W112" s="122">
        <v>3.7</v>
      </c>
      <c r="X112" s="122">
        <v>3.4</v>
      </c>
      <c r="Y112" s="122">
        <v>10.9</v>
      </c>
      <c r="Z112" s="122">
        <v>23.3</v>
      </c>
      <c r="AA112" s="122">
        <v>48.4</v>
      </c>
      <c r="AB112" s="122">
        <v>26.8</v>
      </c>
      <c r="AC112" s="122">
        <v>14</v>
      </c>
      <c r="AD112" s="122">
        <v>14</v>
      </c>
      <c r="AE112" s="122">
        <v>0</v>
      </c>
      <c r="AF112" s="122">
        <v>0</v>
      </c>
      <c r="AG112" s="121">
        <v>60</v>
      </c>
      <c r="AH112" s="52">
        <f t="shared" si="11"/>
        <v>48.4</v>
      </c>
      <c r="AI112" s="53">
        <f t="shared" si="12"/>
        <v>-8.6999999999999993</v>
      </c>
    </row>
    <row r="113" spans="1:37" x14ac:dyDescent="0.25">
      <c r="A113" s="123" t="s">
        <v>121</v>
      </c>
      <c r="B113" s="124">
        <v>67.400000000000006</v>
      </c>
      <c r="C113" s="124">
        <v>59.6</v>
      </c>
      <c r="D113" s="124">
        <v>46.2</v>
      </c>
      <c r="E113" s="124">
        <v>43.9</v>
      </c>
      <c r="F113" s="124">
        <v>62.5</v>
      </c>
      <c r="G113" s="124">
        <v>77.7</v>
      </c>
      <c r="H113" s="124">
        <v>89.1</v>
      </c>
      <c r="I113" s="124">
        <v>90.3</v>
      </c>
      <c r="J113" s="124">
        <v>86.7</v>
      </c>
      <c r="K113" s="124">
        <v>91.6</v>
      </c>
      <c r="L113" s="124">
        <v>106.1</v>
      </c>
      <c r="M113" s="124">
        <v>98.2</v>
      </c>
      <c r="N113" s="124">
        <v>99.8</v>
      </c>
      <c r="O113" s="124">
        <v>98</v>
      </c>
      <c r="P113" s="124">
        <v>103.4</v>
      </c>
      <c r="Q113" s="124">
        <v>98.9</v>
      </c>
      <c r="R113" s="124">
        <v>91.4</v>
      </c>
      <c r="S113" s="124">
        <v>95.7</v>
      </c>
      <c r="T113" s="124">
        <v>101.8</v>
      </c>
      <c r="U113" s="124">
        <v>92.5</v>
      </c>
      <c r="V113" s="124">
        <v>80</v>
      </c>
      <c r="W113" s="124">
        <v>94.4</v>
      </c>
      <c r="X113" s="124">
        <v>98</v>
      </c>
      <c r="Y113" s="124">
        <v>92.5</v>
      </c>
      <c r="Z113" s="124">
        <v>97.4</v>
      </c>
      <c r="AA113" s="124">
        <v>107</v>
      </c>
      <c r="AB113" s="124">
        <v>86.7</v>
      </c>
      <c r="AC113" s="124">
        <v>85</v>
      </c>
      <c r="AD113" s="124">
        <v>85</v>
      </c>
      <c r="AE113" s="124">
        <v>90</v>
      </c>
      <c r="AF113" s="124">
        <v>92</v>
      </c>
      <c r="AG113" s="125">
        <v>120</v>
      </c>
      <c r="AH113" s="52">
        <f t="shared" si="11"/>
        <v>107</v>
      </c>
      <c r="AI113" s="53">
        <f t="shared" si="12"/>
        <v>43.9</v>
      </c>
    </row>
    <row r="114" spans="1:37" x14ac:dyDescent="0.25">
      <c r="A114" s="123" t="s">
        <v>122</v>
      </c>
      <c r="B114" s="124">
        <v>84.3</v>
      </c>
      <c r="C114" s="124">
        <v>80.2</v>
      </c>
      <c r="D114" s="124">
        <v>81</v>
      </c>
      <c r="E114" s="124">
        <v>82.2</v>
      </c>
      <c r="F114" s="124">
        <v>89.9</v>
      </c>
      <c r="G114" s="124">
        <v>94.3</v>
      </c>
      <c r="H114" s="124">
        <v>100</v>
      </c>
      <c r="I114" s="124">
        <v>97.1</v>
      </c>
      <c r="J114" s="124">
        <v>91.7</v>
      </c>
      <c r="K114" s="124">
        <v>91.1</v>
      </c>
      <c r="L114" s="124">
        <v>97.2</v>
      </c>
      <c r="M114" s="124">
        <v>94.3</v>
      </c>
      <c r="N114" s="124">
        <v>101.6</v>
      </c>
      <c r="O114" s="124">
        <v>94</v>
      </c>
      <c r="P114" s="124">
        <v>102.4</v>
      </c>
      <c r="Q114" s="124">
        <v>98.6</v>
      </c>
      <c r="R114" s="124">
        <v>91.8</v>
      </c>
      <c r="S114" s="124">
        <v>99.1</v>
      </c>
      <c r="T114" s="124">
        <v>103.5</v>
      </c>
      <c r="U114" s="124">
        <v>99.9</v>
      </c>
      <c r="V114" s="124">
        <v>94.7</v>
      </c>
      <c r="W114" s="124">
        <v>109.5</v>
      </c>
      <c r="X114" s="124">
        <v>103.3</v>
      </c>
      <c r="Y114" s="124">
        <v>92.1</v>
      </c>
      <c r="Z114" s="124">
        <v>89.3</v>
      </c>
      <c r="AA114" s="124">
        <v>88.7</v>
      </c>
      <c r="AB114" s="124">
        <v>104.4</v>
      </c>
      <c r="AC114" s="124">
        <v>100</v>
      </c>
      <c r="AD114" s="124">
        <v>100</v>
      </c>
      <c r="AE114" s="124">
        <v>100</v>
      </c>
      <c r="AF114" s="124">
        <v>107</v>
      </c>
      <c r="AG114" s="125"/>
      <c r="AH114" s="52">
        <f t="shared" si="11"/>
        <v>109.5</v>
      </c>
      <c r="AI114" s="53">
        <f t="shared" si="12"/>
        <v>80.2</v>
      </c>
    </row>
    <row r="115" spans="1:37" x14ac:dyDescent="0.25">
      <c r="A115" s="123" t="s">
        <v>123</v>
      </c>
      <c r="B115" s="124">
        <v>50.2</v>
      </c>
      <c r="C115" s="124"/>
      <c r="D115" s="124">
        <v>48.2</v>
      </c>
      <c r="E115" s="124"/>
      <c r="F115" s="124"/>
      <c r="G115" s="124">
        <v>44.9</v>
      </c>
      <c r="H115" s="124"/>
      <c r="I115" s="124"/>
      <c r="J115" s="124">
        <v>16.100000000000001</v>
      </c>
      <c r="K115" s="124"/>
      <c r="L115" s="124">
        <v>5.4</v>
      </c>
      <c r="M115" s="124">
        <v>13.3</v>
      </c>
      <c r="N115" s="124"/>
      <c r="O115" s="124">
        <v>22</v>
      </c>
      <c r="P115" s="124">
        <v>27</v>
      </c>
      <c r="Q115" s="124">
        <v>26.9</v>
      </c>
      <c r="R115" s="124">
        <v>37.4</v>
      </c>
      <c r="S115" s="124">
        <v>45.5</v>
      </c>
      <c r="T115" s="124">
        <v>42.4</v>
      </c>
      <c r="U115" s="124">
        <v>44.4</v>
      </c>
      <c r="V115" s="124">
        <v>40.4</v>
      </c>
      <c r="W115" s="124">
        <v>45</v>
      </c>
      <c r="X115" s="124">
        <v>45</v>
      </c>
      <c r="Y115" s="124">
        <v>41.4</v>
      </c>
      <c r="Z115" s="124">
        <v>22.4</v>
      </c>
      <c r="AA115" s="124">
        <v>44.1</v>
      </c>
      <c r="AB115" s="124">
        <v>103</v>
      </c>
      <c r="AC115" s="124">
        <v>54</v>
      </c>
      <c r="AD115" s="124">
        <v>54</v>
      </c>
      <c r="AE115" s="124">
        <v>95</v>
      </c>
      <c r="AF115" s="124">
        <v>100</v>
      </c>
      <c r="AG115" s="126"/>
      <c r="AH115" s="52">
        <f t="shared" si="11"/>
        <v>103</v>
      </c>
      <c r="AI115" s="53">
        <f t="shared" si="12"/>
        <v>5.4</v>
      </c>
    </row>
    <row r="116" spans="1:37" x14ac:dyDescent="0.25">
      <c r="A116" s="127" t="s">
        <v>124</v>
      </c>
      <c r="B116" s="113">
        <v>-28.2</v>
      </c>
      <c r="C116" s="113">
        <v>-23</v>
      </c>
      <c r="D116" s="113">
        <v>-11.3</v>
      </c>
      <c r="E116" s="113">
        <v>-14</v>
      </c>
      <c r="F116" s="113">
        <v>-9.1</v>
      </c>
      <c r="G116" s="113">
        <v>-12</v>
      </c>
      <c r="H116" s="113">
        <v>-13.3</v>
      </c>
      <c r="I116" s="113">
        <v>-16.8</v>
      </c>
      <c r="J116" s="113">
        <v>-21.1</v>
      </c>
      <c r="K116" s="113">
        <v>-29.5</v>
      </c>
      <c r="L116" s="113">
        <v>-30.8</v>
      </c>
      <c r="M116" s="113">
        <v>-29.7</v>
      </c>
      <c r="N116" s="113">
        <v>-30.3</v>
      </c>
      <c r="O116" s="113">
        <v>-34</v>
      </c>
      <c r="P116" s="113">
        <v>-30.9</v>
      </c>
      <c r="Q116" s="113">
        <v>-28.6</v>
      </c>
      <c r="R116" s="113">
        <v>-26.5</v>
      </c>
      <c r="S116" s="113">
        <v>-31.3</v>
      </c>
      <c r="T116" s="113">
        <v>-12.8</v>
      </c>
      <c r="U116" s="113">
        <v>-3.8</v>
      </c>
      <c r="V116" s="113">
        <v>-8.6999999999999993</v>
      </c>
      <c r="W116" s="113">
        <v>-7.7</v>
      </c>
      <c r="X116" s="113">
        <v>-6.8</v>
      </c>
      <c r="Y116" s="113">
        <v>-11.1</v>
      </c>
      <c r="Z116" s="113">
        <v>-23.1</v>
      </c>
      <c r="AA116" s="113">
        <v>-18.8</v>
      </c>
      <c r="AB116" s="113">
        <v>-14.5</v>
      </c>
      <c r="AC116" s="113">
        <v>-10</v>
      </c>
      <c r="AD116" s="113">
        <v>-10</v>
      </c>
      <c r="AE116" s="113">
        <v>2</v>
      </c>
      <c r="AF116" s="113">
        <v>2</v>
      </c>
      <c r="AG116" s="126"/>
      <c r="AH116" s="52">
        <f t="shared" si="11"/>
        <v>2</v>
      </c>
      <c r="AI116" s="53">
        <f t="shared" si="12"/>
        <v>-34</v>
      </c>
    </row>
    <row r="117" spans="1:37" ht="15.75" thickBot="1" x14ac:dyDescent="0.3">
      <c r="A117" s="127" t="s">
        <v>125</v>
      </c>
      <c r="B117" s="113">
        <v>114.1</v>
      </c>
      <c r="C117" s="113">
        <v>101.4</v>
      </c>
      <c r="D117" s="113">
        <v>87.8</v>
      </c>
      <c r="E117" s="113">
        <v>80.599999999999994</v>
      </c>
      <c r="F117" s="113">
        <v>85</v>
      </c>
      <c r="G117" s="113">
        <v>84.5</v>
      </c>
      <c r="H117" s="113">
        <v>81.400000000000006</v>
      </c>
      <c r="I117" s="113">
        <v>86.4</v>
      </c>
      <c r="J117" s="113">
        <v>100.8</v>
      </c>
      <c r="K117" s="113">
        <v>103.6</v>
      </c>
      <c r="L117" s="113">
        <v>111.3</v>
      </c>
      <c r="M117" s="113">
        <v>111.1</v>
      </c>
      <c r="N117" s="113">
        <v>105.6</v>
      </c>
      <c r="O117" s="113">
        <v>101</v>
      </c>
      <c r="P117" s="113">
        <v>107.5</v>
      </c>
      <c r="Q117" s="113">
        <v>104.6</v>
      </c>
      <c r="R117" s="113">
        <v>108.3</v>
      </c>
      <c r="S117" s="113">
        <v>95</v>
      </c>
      <c r="T117" s="113">
        <v>91.5</v>
      </c>
      <c r="U117" s="113">
        <v>93.9</v>
      </c>
      <c r="V117" s="113">
        <v>85.6</v>
      </c>
      <c r="W117" s="113">
        <v>71.900000000000006</v>
      </c>
      <c r="X117" s="113">
        <v>74.400000000000006</v>
      </c>
      <c r="Y117" s="113">
        <v>78.400000000000006</v>
      </c>
      <c r="Z117" s="113">
        <v>96.6</v>
      </c>
      <c r="AA117" s="113">
        <v>94.4</v>
      </c>
      <c r="AB117" s="113">
        <v>93</v>
      </c>
      <c r="AC117" s="113">
        <v>102</v>
      </c>
      <c r="AD117" s="113">
        <v>102</v>
      </c>
      <c r="AE117" s="113">
        <v>85</v>
      </c>
      <c r="AF117" s="113">
        <v>76</v>
      </c>
      <c r="AG117" s="126"/>
      <c r="AH117" s="52">
        <f t="shared" si="11"/>
        <v>114.1</v>
      </c>
      <c r="AI117" s="53">
        <f t="shared" si="12"/>
        <v>71.900000000000006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19">SUM(B119:B223)</f>
        <v>0</v>
      </c>
      <c r="C224" s="144">
        <f t="shared" si="19"/>
        <v>0</v>
      </c>
      <c r="D224" s="144">
        <f t="shared" si="19"/>
        <v>0</v>
      </c>
      <c r="E224" s="144">
        <f t="shared" si="19"/>
        <v>0</v>
      </c>
      <c r="F224" s="144">
        <f t="shared" si="19"/>
        <v>0</v>
      </c>
      <c r="G224" s="144">
        <f t="shared" si="19"/>
        <v>0</v>
      </c>
      <c r="H224" s="144">
        <f t="shared" si="19"/>
        <v>0</v>
      </c>
      <c r="I224" s="144">
        <f t="shared" si="19"/>
        <v>0</v>
      </c>
      <c r="J224" s="144">
        <f t="shared" si="19"/>
        <v>0</v>
      </c>
      <c r="K224" s="144">
        <f t="shared" si="19"/>
        <v>0</v>
      </c>
      <c r="L224" s="144">
        <f t="shared" si="19"/>
        <v>0</v>
      </c>
      <c r="M224" s="144">
        <f t="shared" si="19"/>
        <v>0</v>
      </c>
      <c r="N224" s="144">
        <f t="shared" si="19"/>
        <v>0</v>
      </c>
      <c r="O224" s="144">
        <f t="shared" si="19"/>
        <v>0</v>
      </c>
      <c r="P224" s="144">
        <f t="shared" si="19"/>
        <v>0</v>
      </c>
      <c r="Q224" s="144">
        <f t="shared" si="19"/>
        <v>0</v>
      </c>
      <c r="R224" s="144">
        <f t="shared" si="19"/>
        <v>0</v>
      </c>
      <c r="S224" s="144">
        <f t="shared" si="19"/>
        <v>0</v>
      </c>
      <c r="T224" s="144">
        <f t="shared" si="19"/>
        <v>0</v>
      </c>
      <c r="U224" s="144">
        <f t="shared" si="19"/>
        <v>0</v>
      </c>
      <c r="V224" s="144">
        <f t="shared" si="19"/>
        <v>0</v>
      </c>
      <c r="W224" s="144">
        <f t="shared" si="19"/>
        <v>0</v>
      </c>
      <c r="X224" s="144">
        <f t="shared" si="19"/>
        <v>0</v>
      </c>
      <c r="Y224" s="144">
        <f t="shared" si="19"/>
        <v>0</v>
      </c>
      <c r="Z224" s="144">
        <f t="shared" si="19"/>
        <v>0</v>
      </c>
      <c r="AA224" s="144">
        <f t="shared" si="19"/>
        <v>0</v>
      </c>
      <c r="AB224" s="144">
        <f t="shared" si="19"/>
        <v>0</v>
      </c>
      <c r="AC224" s="144">
        <f t="shared" si="19"/>
        <v>0</v>
      </c>
      <c r="AD224" s="144">
        <f t="shared" si="19"/>
        <v>0</v>
      </c>
      <c r="AE224" s="144">
        <f t="shared" si="19"/>
        <v>0</v>
      </c>
      <c r="AF224" s="145">
        <f t="shared" si="19"/>
        <v>0</v>
      </c>
      <c r="AG224" s="146">
        <f t="shared" si="19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20">AF226</f>
        <v>0</v>
      </c>
      <c r="C226" s="149">
        <v>0.3</v>
      </c>
      <c r="D226" s="149">
        <f t="shared" ref="D226:P231" si="21">C226</f>
        <v>0.3</v>
      </c>
      <c r="E226" s="149">
        <f t="shared" si="21"/>
        <v>0.3</v>
      </c>
      <c r="F226" s="149">
        <f t="shared" si="21"/>
        <v>0.3</v>
      </c>
      <c r="G226" s="149">
        <f t="shared" si="21"/>
        <v>0.3</v>
      </c>
      <c r="H226" s="149">
        <f t="shared" si="21"/>
        <v>0.3</v>
      </c>
      <c r="I226" s="149">
        <f t="shared" si="21"/>
        <v>0.3</v>
      </c>
      <c r="J226" s="149">
        <f t="shared" si="21"/>
        <v>0.3</v>
      </c>
      <c r="K226" s="149">
        <f t="shared" si="21"/>
        <v>0.3</v>
      </c>
      <c r="L226" s="149">
        <f t="shared" si="21"/>
        <v>0.3</v>
      </c>
      <c r="M226" s="149">
        <f t="shared" si="21"/>
        <v>0.3</v>
      </c>
      <c r="N226" s="149">
        <f t="shared" si="21"/>
        <v>0.3</v>
      </c>
      <c r="O226" s="149">
        <f t="shared" si="21"/>
        <v>0.3</v>
      </c>
      <c r="P226" s="149">
        <f t="shared" si="21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20"/>
        <v>0</v>
      </c>
      <c r="C227" s="136">
        <v>0.4</v>
      </c>
      <c r="D227" s="136">
        <f t="shared" si="21"/>
        <v>0.4</v>
      </c>
      <c r="E227" s="136">
        <f t="shared" si="21"/>
        <v>0.4</v>
      </c>
      <c r="F227" s="136">
        <f t="shared" si="21"/>
        <v>0.4</v>
      </c>
      <c r="G227" s="136">
        <f t="shared" si="21"/>
        <v>0.4</v>
      </c>
      <c r="H227" s="136">
        <f t="shared" si="21"/>
        <v>0.4</v>
      </c>
      <c r="I227" s="136">
        <f t="shared" si="21"/>
        <v>0.4</v>
      </c>
      <c r="J227" s="136">
        <f t="shared" si="21"/>
        <v>0.4</v>
      </c>
      <c r="K227" s="136">
        <f t="shared" si="21"/>
        <v>0.4</v>
      </c>
      <c r="L227" s="136">
        <f t="shared" si="21"/>
        <v>0.4</v>
      </c>
      <c r="M227" s="136">
        <f t="shared" si="21"/>
        <v>0.4</v>
      </c>
      <c r="N227" s="136">
        <f t="shared" si="21"/>
        <v>0.4</v>
      </c>
      <c r="O227" s="136">
        <f t="shared" si="21"/>
        <v>0.4</v>
      </c>
      <c r="P227" s="136">
        <f t="shared" si="21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20"/>
        <v>0</v>
      </c>
      <c r="C228" s="136">
        <v>1.5</v>
      </c>
      <c r="D228" s="136">
        <f t="shared" si="21"/>
        <v>1.5</v>
      </c>
      <c r="E228" s="136">
        <f t="shared" si="21"/>
        <v>1.5</v>
      </c>
      <c r="F228" s="136">
        <f t="shared" si="21"/>
        <v>1.5</v>
      </c>
      <c r="G228" s="136">
        <f t="shared" si="21"/>
        <v>1.5</v>
      </c>
      <c r="H228" s="136">
        <f t="shared" si="21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21"/>
        <v>1.5</v>
      </c>
      <c r="K228" s="136">
        <f t="shared" ca="1" si="21"/>
        <v>1.5</v>
      </c>
      <c r="L228" s="136">
        <f t="shared" ca="1" si="21"/>
        <v>1.5</v>
      </c>
      <c r="M228" s="136">
        <f t="shared" ca="1" si="21"/>
        <v>1.5</v>
      </c>
      <c r="N228" s="136">
        <f t="shared" ca="1" si="21"/>
        <v>1.5</v>
      </c>
      <c r="O228" s="136">
        <f t="shared" ca="1" si="21"/>
        <v>1.5</v>
      </c>
      <c r="P228" s="136">
        <f t="shared" ca="1" si="21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20"/>
        <v>0</v>
      </c>
      <c r="C229" s="136">
        <v>0.3</v>
      </c>
      <c r="D229" s="136">
        <f t="shared" si="21"/>
        <v>0.3</v>
      </c>
      <c r="E229" s="136">
        <f t="shared" si="21"/>
        <v>0.3</v>
      </c>
      <c r="F229" s="136">
        <f t="shared" si="21"/>
        <v>0.3</v>
      </c>
      <c r="G229" s="136">
        <f t="shared" si="21"/>
        <v>0.3</v>
      </c>
      <c r="H229" s="136">
        <f t="shared" si="21"/>
        <v>0.3</v>
      </c>
      <c r="I229" s="136">
        <f t="shared" si="21"/>
        <v>0.3</v>
      </c>
      <c r="J229" s="136">
        <f t="shared" si="21"/>
        <v>0.3</v>
      </c>
      <c r="K229" s="136">
        <f t="shared" si="21"/>
        <v>0.3</v>
      </c>
      <c r="L229" s="136">
        <f t="shared" si="21"/>
        <v>0.3</v>
      </c>
      <c r="M229" s="136">
        <f t="shared" si="21"/>
        <v>0.3</v>
      </c>
      <c r="N229" s="136">
        <f t="shared" si="21"/>
        <v>0.3</v>
      </c>
      <c r="O229" s="136">
        <f t="shared" si="21"/>
        <v>0.3</v>
      </c>
      <c r="P229" s="136">
        <f t="shared" si="21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20"/>
        <v>0</v>
      </c>
      <c r="C230" s="136">
        <v>0.4</v>
      </c>
      <c r="D230" s="136">
        <f t="shared" si="21"/>
        <v>0.4</v>
      </c>
      <c r="E230" s="136">
        <f t="shared" si="21"/>
        <v>0.4</v>
      </c>
      <c r="F230" s="136">
        <f t="shared" si="21"/>
        <v>0.4</v>
      </c>
      <c r="G230" s="136">
        <f t="shared" si="21"/>
        <v>0.4</v>
      </c>
      <c r="H230" s="136">
        <f t="shared" si="21"/>
        <v>0.4</v>
      </c>
      <c r="I230" s="136">
        <f t="shared" si="21"/>
        <v>0.4</v>
      </c>
      <c r="J230" s="136">
        <f t="shared" si="21"/>
        <v>0.4</v>
      </c>
      <c r="K230" s="136">
        <f t="shared" si="21"/>
        <v>0.4</v>
      </c>
      <c r="L230" s="136">
        <f t="shared" si="21"/>
        <v>0.4</v>
      </c>
      <c r="M230" s="136">
        <f t="shared" si="21"/>
        <v>0.4</v>
      </c>
      <c r="N230" s="136">
        <f t="shared" si="21"/>
        <v>0.4</v>
      </c>
      <c r="O230" s="136">
        <f t="shared" si="21"/>
        <v>0.4</v>
      </c>
      <c r="P230" s="136">
        <f t="shared" si="21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20"/>
        <v>0</v>
      </c>
      <c r="C231" s="140">
        <v>0.64</v>
      </c>
      <c r="D231" s="140">
        <f t="shared" si="21"/>
        <v>0.64</v>
      </c>
      <c r="E231" s="140">
        <f t="shared" si="21"/>
        <v>0.64</v>
      </c>
      <c r="F231" s="140">
        <f t="shared" si="21"/>
        <v>0.64</v>
      </c>
      <c r="G231" s="140">
        <f t="shared" si="21"/>
        <v>0.64</v>
      </c>
      <c r="H231" s="140">
        <f t="shared" si="21"/>
        <v>0.64</v>
      </c>
      <c r="I231" s="140">
        <f t="shared" si="21"/>
        <v>0.64</v>
      </c>
      <c r="J231" s="140">
        <f t="shared" si="21"/>
        <v>0.64</v>
      </c>
      <c r="K231" s="140">
        <f t="shared" si="21"/>
        <v>0.64</v>
      </c>
      <c r="L231" s="140">
        <f t="shared" si="21"/>
        <v>0.64</v>
      </c>
      <c r="M231" s="140">
        <f t="shared" si="21"/>
        <v>0.64</v>
      </c>
      <c r="N231" s="140">
        <f t="shared" si="21"/>
        <v>0.64</v>
      </c>
      <c r="O231" s="140">
        <f t="shared" si="21"/>
        <v>0.64</v>
      </c>
      <c r="P231" s="140">
        <f t="shared" si="21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22">SUM(B226:B231)</f>
        <v>0</v>
      </c>
      <c r="C232" s="144">
        <f t="shared" si="22"/>
        <v>3.54</v>
      </c>
      <c r="D232" s="144">
        <f t="shared" si="22"/>
        <v>3.54</v>
      </c>
      <c r="E232" s="144">
        <f t="shared" si="22"/>
        <v>3.54</v>
      </c>
      <c r="F232" s="144">
        <f t="shared" si="22"/>
        <v>3.54</v>
      </c>
      <c r="G232" s="144">
        <f t="shared" si="22"/>
        <v>3.54</v>
      </c>
      <c r="H232" s="144">
        <f t="shared" si="22"/>
        <v>3.54</v>
      </c>
      <c r="I232" s="144">
        <f t="shared" ca="1" si="22"/>
        <v>3.54</v>
      </c>
      <c r="J232" s="144">
        <f t="shared" ca="1" si="22"/>
        <v>3.54</v>
      </c>
      <c r="K232" s="144">
        <f t="shared" ca="1" si="22"/>
        <v>3.54</v>
      </c>
      <c r="L232" s="144">
        <f t="shared" ca="1" si="22"/>
        <v>3.54</v>
      </c>
      <c r="M232" s="144">
        <f t="shared" ca="1" si="22"/>
        <v>3.54</v>
      </c>
      <c r="N232" s="144">
        <f t="shared" ca="1" si="22"/>
        <v>3.54</v>
      </c>
      <c r="O232" s="144">
        <f t="shared" ca="1" si="22"/>
        <v>3.54</v>
      </c>
      <c r="P232" s="144">
        <f t="shared" ca="1" si="22"/>
        <v>3.54</v>
      </c>
      <c r="Q232" s="144">
        <f t="shared" si="22"/>
        <v>0</v>
      </c>
      <c r="R232" s="144">
        <f t="shared" si="22"/>
        <v>0</v>
      </c>
      <c r="S232" s="144">
        <f t="shared" si="22"/>
        <v>0</v>
      </c>
      <c r="T232" s="144">
        <f t="shared" si="22"/>
        <v>0</v>
      </c>
      <c r="U232" s="144">
        <f t="shared" si="22"/>
        <v>0</v>
      </c>
      <c r="V232" s="144">
        <f t="shared" si="22"/>
        <v>0</v>
      </c>
      <c r="W232" s="144">
        <f t="shared" si="22"/>
        <v>0</v>
      </c>
      <c r="X232" s="144">
        <f t="shared" si="22"/>
        <v>0</v>
      </c>
      <c r="Y232" s="144">
        <f t="shared" si="22"/>
        <v>0</v>
      </c>
      <c r="Z232" s="144">
        <f t="shared" si="22"/>
        <v>0</v>
      </c>
      <c r="AA232" s="144">
        <f t="shared" si="22"/>
        <v>0</v>
      </c>
      <c r="AB232" s="144">
        <f t="shared" si="22"/>
        <v>0</v>
      </c>
      <c r="AC232" s="144">
        <f t="shared" si="22"/>
        <v>0</v>
      </c>
      <c r="AD232" s="144">
        <f t="shared" si="22"/>
        <v>0</v>
      </c>
      <c r="AE232" s="144">
        <f t="shared" si="22"/>
        <v>0</v>
      </c>
      <c r="AF232" s="144">
        <f t="shared" si="22"/>
        <v>0</v>
      </c>
      <c r="AG232" s="154">
        <f t="shared" si="22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1402.94</v>
      </c>
      <c r="C241" s="170">
        <f>INDEX(G9:N9,1,MATCH(MAX(G89:N89),G89:N89,0))</f>
        <v>0.33333333333333331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21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2079/12/21)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2079/12/21)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23">B89</f>
        <v>1156.04</v>
      </c>
      <c r="U246" s="180">
        <f t="shared" si="23"/>
        <v>1135.74</v>
      </c>
      <c r="V246" s="180">
        <f t="shared" si="23"/>
        <v>1069.24</v>
      </c>
      <c r="W246" s="180">
        <f t="shared" si="23"/>
        <v>1055.24</v>
      </c>
      <c r="X246" s="180">
        <f t="shared" si="23"/>
        <v>1110.04</v>
      </c>
      <c r="Y246" s="180">
        <f t="shared" si="23"/>
        <v>1191.44</v>
      </c>
      <c r="Z246" s="180">
        <f t="shared" si="23"/>
        <v>1193.3399999999999</v>
      </c>
      <c r="AA246" s="180">
        <f t="shared" si="23"/>
        <v>1241.8400000000001</v>
      </c>
      <c r="AB246" s="180">
        <f t="shared" si="23"/>
        <v>1304.3399999999999</v>
      </c>
      <c r="AC246" s="180">
        <f t="shared" si="23"/>
        <v>1342.44</v>
      </c>
      <c r="AD246" s="180">
        <f t="shared" si="23"/>
        <v>1392.34</v>
      </c>
      <c r="AE246" s="180">
        <f t="shared" si="23"/>
        <v>1402.94</v>
      </c>
      <c r="AF246" s="180">
        <f t="shared" si="23"/>
        <v>1347.64</v>
      </c>
      <c r="AG246" s="180">
        <f t="shared" si="23"/>
        <v>1324.0400000000002</v>
      </c>
      <c r="AH246" s="180">
        <f t="shared" si="23"/>
        <v>1334.44</v>
      </c>
      <c r="AI246" s="180">
        <f t="shared" si="23"/>
        <v>1331.8400000000001</v>
      </c>
      <c r="AJ246" s="180">
        <f t="shared" si="23"/>
        <v>1327.64</v>
      </c>
      <c r="AK246" s="180">
        <f t="shared" si="23"/>
        <v>1302.8400000000001</v>
      </c>
      <c r="AL246" s="180">
        <f t="shared" si="23"/>
        <v>1336.14</v>
      </c>
      <c r="AM246" s="180">
        <f t="shared" si="23"/>
        <v>1319.3400000000001</v>
      </c>
      <c r="AN246" s="180">
        <f t="shared" si="23"/>
        <v>1328.8400000000001</v>
      </c>
      <c r="AO246" s="180">
        <f t="shared" si="23"/>
        <v>1341.0400000000002</v>
      </c>
      <c r="AP246" s="180">
        <f t="shared" si="23"/>
        <v>1290.8400000000001</v>
      </c>
      <c r="AQ246" s="180">
        <f t="shared" si="23"/>
        <v>1348.84</v>
      </c>
      <c r="AR246" s="180">
        <f t="shared" si="23"/>
        <v>1471.8400000000001</v>
      </c>
      <c r="AS246" s="180">
        <f t="shared" si="23"/>
        <v>1564.3400000000001</v>
      </c>
      <c r="AT246" s="180">
        <f t="shared" si="23"/>
        <v>1527.84</v>
      </c>
      <c r="AU246" s="180">
        <f t="shared" si="23"/>
        <v>1429.74</v>
      </c>
      <c r="AV246" s="180">
        <f t="shared" si="23"/>
        <v>1359.1399999999999</v>
      </c>
      <c r="AW246" s="180">
        <f t="shared" si="23"/>
        <v>1322.6399999999999</v>
      </c>
      <c r="AX246" s="180">
        <f t="shared" si="23"/>
        <v>1216.2399999999998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24">C231</f>
        <v>0.64</v>
      </c>
      <c r="C267" s="183">
        <f t="shared" si="24"/>
        <v>0.64</v>
      </c>
      <c r="D267" s="183">
        <f t="shared" si="24"/>
        <v>0.64</v>
      </c>
      <c r="E267" s="183">
        <f t="shared" si="24"/>
        <v>0.64</v>
      </c>
      <c r="F267" s="183">
        <f t="shared" si="24"/>
        <v>0.64</v>
      </c>
      <c r="G267" s="183">
        <f t="shared" si="24"/>
        <v>0.64</v>
      </c>
      <c r="H267" s="183">
        <f t="shared" si="24"/>
        <v>0.64</v>
      </c>
      <c r="I267" s="183">
        <f t="shared" si="24"/>
        <v>0.64</v>
      </c>
      <c r="J267" s="183">
        <f t="shared" si="24"/>
        <v>0.64</v>
      </c>
      <c r="K267" s="183">
        <f t="shared" si="24"/>
        <v>0.64</v>
      </c>
      <c r="L267" s="183">
        <f t="shared" si="24"/>
        <v>0.64</v>
      </c>
      <c r="M267" s="183">
        <f t="shared" si="24"/>
        <v>0.64</v>
      </c>
      <c r="N267" s="183">
        <f t="shared" si="24"/>
        <v>0.64</v>
      </c>
      <c r="O267" s="183">
        <f t="shared" si="24"/>
        <v>0.64</v>
      </c>
      <c r="P267" s="183">
        <f t="shared" si="24"/>
        <v>0</v>
      </c>
      <c r="Q267" s="183">
        <f t="shared" si="24"/>
        <v>0</v>
      </c>
      <c r="R267" s="183">
        <f t="shared" si="24"/>
        <v>0</v>
      </c>
      <c r="S267" s="183">
        <f t="shared" si="24"/>
        <v>0</v>
      </c>
      <c r="T267" s="183">
        <f t="shared" si="24"/>
        <v>0</v>
      </c>
      <c r="U267" s="183">
        <f t="shared" si="24"/>
        <v>0</v>
      </c>
      <c r="V267" s="183">
        <f t="shared" si="24"/>
        <v>0</v>
      </c>
      <c r="W267" s="183">
        <f t="shared" si="24"/>
        <v>0</v>
      </c>
      <c r="X267" s="183">
        <f t="shared" si="24"/>
        <v>0</v>
      </c>
      <c r="Y267" s="183">
        <f t="shared" si="24"/>
        <v>0</v>
      </c>
      <c r="Z267" s="183">
        <f t="shared" si="24"/>
        <v>0</v>
      </c>
      <c r="AA267" s="183">
        <f t="shared" si="24"/>
        <v>0</v>
      </c>
      <c r="AB267" s="183">
        <f t="shared" si="24"/>
        <v>0</v>
      </c>
      <c r="AC267" s="183">
        <f t="shared" si="24"/>
        <v>0</v>
      </c>
      <c r="AD267" s="183">
        <f t="shared" si="24"/>
        <v>0</v>
      </c>
      <c r="AE267" s="183">
        <f t="shared" si="24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25">IF(B235&lt;100,"",B235-520)</f>
        <v/>
      </c>
      <c r="C268" s="184" t="str">
        <f t="shared" si="25"/>
        <v/>
      </c>
      <c r="D268" s="184" t="str">
        <f t="shared" si="25"/>
        <v/>
      </c>
      <c r="E268" s="184" t="str">
        <f t="shared" si="25"/>
        <v/>
      </c>
      <c r="F268" s="184" t="str">
        <f t="shared" si="25"/>
        <v/>
      </c>
      <c r="G268" s="184" t="str">
        <f t="shared" si="25"/>
        <v/>
      </c>
      <c r="H268" s="184" t="str">
        <f t="shared" si="25"/>
        <v/>
      </c>
      <c r="I268" s="184" t="str">
        <f t="shared" si="25"/>
        <v/>
      </c>
      <c r="J268" s="184" t="str">
        <f t="shared" si="25"/>
        <v/>
      </c>
      <c r="K268" s="184" t="str">
        <f t="shared" si="25"/>
        <v/>
      </c>
      <c r="L268" s="184" t="str">
        <f t="shared" si="25"/>
        <v/>
      </c>
      <c r="M268" s="184" t="str">
        <f t="shared" si="25"/>
        <v/>
      </c>
      <c r="N268" s="184" t="str">
        <f t="shared" si="25"/>
        <v/>
      </c>
      <c r="O268" s="184" t="str">
        <f t="shared" si="25"/>
        <v/>
      </c>
      <c r="P268" s="184" t="str">
        <f t="shared" si="25"/>
        <v/>
      </c>
      <c r="Q268" s="184" t="str">
        <f t="shared" si="25"/>
        <v/>
      </c>
      <c r="R268" s="184" t="str">
        <f t="shared" si="25"/>
        <v/>
      </c>
      <c r="S268" s="184" t="str">
        <f t="shared" si="25"/>
        <v/>
      </c>
      <c r="T268" s="184" t="str">
        <f t="shared" si="25"/>
        <v/>
      </c>
      <c r="U268" s="184" t="str">
        <f t="shared" si="25"/>
        <v/>
      </c>
      <c r="V268" s="184" t="str">
        <f t="shared" si="25"/>
        <v/>
      </c>
      <c r="W268" s="184" t="str">
        <f t="shared" si="25"/>
        <v/>
      </c>
      <c r="X268" s="184" t="str">
        <f t="shared" si="25"/>
        <v/>
      </c>
      <c r="Y268" s="184" t="str">
        <f t="shared" si="25"/>
        <v/>
      </c>
      <c r="Z268" s="184" t="str">
        <f t="shared" si="25"/>
        <v/>
      </c>
      <c r="AA268" s="184" t="str">
        <f t="shared" si="25"/>
        <v/>
      </c>
      <c r="AB268" s="184" t="str">
        <f t="shared" si="25"/>
        <v/>
      </c>
      <c r="AC268" s="184" t="str">
        <f t="shared" si="25"/>
        <v/>
      </c>
      <c r="AD268" s="184" t="str">
        <f t="shared" si="25"/>
        <v/>
      </c>
      <c r="AE268" s="184" t="str">
        <f t="shared" si="25"/>
        <v/>
      </c>
      <c r="AF268" s="184" t="str">
        <f t="shared" si="25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26">IF(B236&lt;100,"",B236-620)</f>
        <v/>
      </c>
      <c r="C269" s="184" t="str">
        <f t="shared" si="26"/>
        <v/>
      </c>
      <c r="D269" s="184" t="str">
        <f t="shared" si="26"/>
        <v/>
      </c>
      <c r="E269" s="184" t="str">
        <f t="shared" si="26"/>
        <v/>
      </c>
      <c r="F269" s="184" t="str">
        <f t="shared" si="26"/>
        <v/>
      </c>
      <c r="G269" s="184" t="str">
        <f t="shared" si="26"/>
        <v/>
      </c>
      <c r="H269" s="184" t="str">
        <f t="shared" si="26"/>
        <v/>
      </c>
      <c r="I269" s="184" t="str">
        <f t="shared" si="26"/>
        <v/>
      </c>
      <c r="J269" s="184" t="str">
        <f t="shared" si="26"/>
        <v/>
      </c>
      <c r="K269" s="184" t="str">
        <f t="shared" si="26"/>
        <v/>
      </c>
      <c r="L269" s="184" t="str">
        <f t="shared" si="26"/>
        <v/>
      </c>
      <c r="M269" s="184" t="str">
        <f t="shared" si="26"/>
        <v/>
      </c>
      <c r="N269" s="184" t="str">
        <f t="shared" si="26"/>
        <v/>
      </c>
      <c r="O269" s="184" t="str">
        <f t="shared" si="26"/>
        <v/>
      </c>
      <c r="P269" s="184" t="str">
        <f t="shared" si="26"/>
        <v/>
      </c>
      <c r="Q269" s="184" t="str">
        <f t="shared" si="26"/>
        <v/>
      </c>
      <c r="R269" s="184" t="str">
        <f t="shared" si="26"/>
        <v/>
      </c>
      <c r="S269" s="184" t="str">
        <f t="shared" si="26"/>
        <v/>
      </c>
      <c r="T269" s="184" t="str">
        <f t="shared" si="26"/>
        <v/>
      </c>
      <c r="U269" s="184" t="str">
        <f t="shared" si="26"/>
        <v/>
      </c>
      <c r="V269" s="184" t="str">
        <f t="shared" si="26"/>
        <v/>
      </c>
      <c r="W269" s="184" t="str">
        <f t="shared" si="26"/>
        <v/>
      </c>
      <c r="X269" s="184" t="str">
        <f t="shared" si="26"/>
        <v/>
      </c>
      <c r="Y269" s="184" t="str">
        <f t="shared" si="26"/>
        <v/>
      </c>
      <c r="Z269" s="184" t="str">
        <f t="shared" si="26"/>
        <v/>
      </c>
      <c r="AA269" s="184" t="str">
        <f t="shared" si="26"/>
        <v/>
      </c>
      <c r="AB269" s="184" t="str">
        <f t="shared" si="26"/>
        <v/>
      </c>
      <c r="AC269" s="184" t="str">
        <f t="shared" si="26"/>
        <v/>
      </c>
      <c r="AD269" s="184" t="str">
        <f t="shared" si="26"/>
        <v/>
      </c>
      <c r="AE269" s="184" t="str">
        <f t="shared" si="26"/>
        <v/>
      </c>
      <c r="AF269" s="184" t="str">
        <f t="shared" si="26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27">IF(B237&lt;100,"",B237-330)</f>
        <v/>
      </c>
      <c r="C270" s="184" t="str">
        <f t="shared" si="27"/>
        <v/>
      </c>
      <c r="D270" s="184" t="str">
        <f t="shared" si="27"/>
        <v/>
      </c>
      <c r="E270" s="184" t="str">
        <f t="shared" si="27"/>
        <v/>
      </c>
      <c r="F270" s="184" t="str">
        <f t="shared" si="27"/>
        <v/>
      </c>
      <c r="G270" s="184" t="str">
        <f t="shared" si="27"/>
        <v/>
      </c>
      <c r="H270" s="184" t="str">
        <f t="shared" si="27"/>
        <v/>
      </c>
      <c r="I270" s="184" t="str">
        <f t="shared" si="27"/>
        <v/>
      </c>
      <c r="J270" s="184" t="str">
        <f t="shared" si="27"/>
        <v/>
      </c>
      <c r="K270" s="184" t="str">
        <f t="shared" si="27"/>
        <v/>
      </c>
      <c r="L270" s="184" t="str">
        <f t="shared" si="27"/>
        <v/>
      </c>
      <c r="M270" s="184" t="str">
        <f t="shared" si="27"/>
        <v/>
      </c>
      <c r="N270" s="184" t="str">
        <f t="shared" si="27"/>
        <v/>
      </c>
      <c r="O270" s="184" t="str">
        <f t="shared" si="27"/>
        <v/>
      </c>
      <c r="P270" s="184" t="str">
        <f t="shared" si="27"/>
        <v/>
      </c>
      <c r="Q270" s="184" t="str">
        <f t="shared" si="27"/>
        <v/>
      </c>
      <c r="R270" s="184" t="str">
        <f t="shared" si="27"/>
        <v/>
      </c>
      <c r="S270" s="184" t="str">
        <f t="shared" si="27"/>
        <v/>
      </c>
      <c r="T270" s="184" t="str">
        <f t="shared" si="27"/>
        <v/>
      </c>
      <c r="U270" s="184" t="str">
        <f t="shared" si="27"/>
        <v/>
      </c>
      <c r="V270" s="184" t="str">
        <f t="shared" si="27"/>
        <v/>
      </c>
      <c r="W270" s="184" t="str">
        <f t="shared" si="27"/>
        <v/>
      </c>
      <c r="X270" s="184" t="str">
        <f t="shared" si="27"/>
        <v/>
      </c>
      <c r="Y270" s="184" t="str">
        <f t="shared" si="27"/>
        <v/>
      </c>
      <c r="Z270" s="184" t="str">
        <f t="shared" si="27"/>
        <v/>
      </c>
      <c r="AA270" s="184" t="str">
        <f t="shared" si="27"/>
        <v/>
      </c>
      <c r="AB270" s="184" t="str">
        <f t="shared" si="27"/>
        <v/>
      </c>
      <c r="AC270" s="184" t="str">
        <f t="shared" si="27"/>
        <v/>
      </c>
      <c r="AD270" s="184" t="str">
        <f t="shared" si="27"/>
        <v/>
      </c>
      <c r="AE270" s="184" t="str">
        <f t="shared" si="27"/>
        <v/>
      </c>
      <c r="AF270" s="184" t="str">
        <f t="shared" si="27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28">IF(B238&lt;100,"",B238-1500)</f>
        <v/>
      </c>
      <c r="C271" s="184" t="str">
        <f t="shared" si="28"/>
        <v/>
      </c>
      <c r="D271" s="184" t="str">
        <f t="shared" si="28"/>
        <v/>
      </c>
      <c r="E271" s="184" t="str">
        <f t="shared" si="28"/>
        <v/>
      </c>
      <c r="F271" s="184" t="str">
        <f t="shared" si="28"/>
        <v/>
      </c>
      <c r="G271" s="184" t="str">
        <f t="shared" si="28"/>
        <v/>
      </c>
      <c r="H271" s="184" t="str">
        <f t="shared" si="28"/>
        <v/>
      </c>
      <c r="I271" s="184" t="str">
        <f t="shared" si="28"/>
        <v/>
      </c>
      <c r="J271" s="184" t="str">
        <f t="shared" si="28"/>
        <v/>
      </c>
      <c r="K271" s="184" t="str">
        <f t="shared" si="28"/>
        <v/>
      </c>
      <c r="L271" s="184" t="str">
        <f t="shared" si="28"/>
        <v/>
      </c>
      <c r="M271" s="184" t="str">
        <f t="shared" si="28"/>
        <v/>
      </c>
      <c r="N271" s="184" t="str">
        <f t="shared" si="28"/>
        <v/>
      </c>
      <c r="O271" s="184" t="str">
        <f t="shared" si="28"/>
        <v/>
      </c>
      <c r="P271" s="184" t="str">
        <f t="shared" si="28"/>
        <v/>
      </c>
      <c r="Q271" s="184" t="str">
        <f t="shared" si="28"/>
        <v/>
      </c>
      <c r="R271" s="184" t="str">
        <f t="shared" si="28"/>
        <v/>
      </c>
      <c r="S271" s="184" t="str">
        <f t="shared" si="28"/>
        <v/>
      </c>
      <c r="T271" s="184" t="str">
        <f t="shared" si="28"/>
        <v/>
      </c>
      <c r="U271" s="184" t="str">
        <f t="shared" si="28"/>
        <v/>
      </c>
      <c r="V271" s="184" t="str">
        <f t="shared" si="28"/>
        <v/>
      </c>
      <c r="W271" s="184" t="str">
        <f t="shared" si="28"/>
        <v/>
      </c>
      <c r="X271" s="184" t="str">
        <f t="shared" si="28"/>
        <v/>
      </c>
      <c r="Y271" s="184" t="str">
        <f t="shared" si="28"/>
        <v/>
      </c>
      <c r="Z271" s="184" t="str">
        <f t="shared" si="28"/>
        <v/>
      </c>
      <c r="AA271" s="184" t="str">
        <f t="shared" si="28"/>
        <v/>
      </c>
      <c r="AB271" s="184" t="str">
        <f t="shared" si="28"/>
        <v/>
      </c>
      <c r="AC271" s="184" t="str">
        <f t="shared" si="28"/>
        <v/>
      </c>
      <c r="AD271" s="184" t="str">
        <f t="shared" si="28"/>
        <v/>
      </c>
      <c r="AE271" s="184" t="str">
        <f t="shared" si="28"/>
        <v/>
      </c>
      <c r="AF271" s="184" t="str">
        <f t="shared" si="28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2744" priority="339">
      <formula>B$9&gt;=20/24</formula>
    </cfRule>
    <cfRule type="expression" dxfId="2743" priority="340">
      <formula>AND(B$9&gt;=14/24,B$9&lt;20/24)</formula>
    </cfRule>
    <cfRule type="expression" dxfId="2742" priority="341">
      <formula>AND(B$9&gt;=8/24,B$9&lt;14/24)</formula>
    </cfRule>
    <cfRule type="expression" dxfId="2741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2740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2739" priority="336">
      <formula>$AH12=0</formula>
    </cfRule>
  </conditionalFormatting>
  <conditionalFormatting sqref="A114">
    <cfRule type="expression" dxfId="2738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2737" priority="333">
      <formula>$AH45=0</formula>
    </cfRule>
  </conditionalFormatting>
  <conditionalFormatting sqref="A98">
    <cfRule type="expression" dxfId="2736" priority="332">
      <formula>$AH98=0</formula>
    </cfRule>
  </conditionalFormatting>
  <conditionalFormatting sqref="A18">
    <cfRule type="expression" dxfId="2735" priority="331">
      <formula>$AH18=0</formula>
    </cfRule>
  </conditionalFormatting>
  <conditionalFormatting sqref="A196:A201">
    <cfRule type="expression" dxfId="2734" priority="330">
      <formula>$AH196=0</formula>
    </cfRule>
  </conditionalFormatting>
  <conditionalFormatting sqref="A190:A195">
    <cfRule type="expression" dxfId="2733" priority="329">
      <formula>$AH190=0</formula>
    </cfRule>
  </conditionalFormatting>
  <conditionalFormatting sqref="A58">
    <cfRule type="expression" dxfId="2732" priority="328">
      <formula>$AH58=0</formula>
    </cfRule>
  </conditionalFormatting>
  <conditionalFormatting sqref="A94">
    <cfRule type="expression" dxfId="2731" priority="327">
      <formula>$AH94=0</formula>
    </cfRule>
  </conditionalFormatting>
  <conditionalFormatting sqref="E99:X99 AD99:AF99">
    <cfRule type="expression" dxfId="2730" priority="323">
      <formula>E$9&gt;=20/24</formula>
    </cfRule>
    <cfRule type="expression" dxfId="2729" priority="324">
      <formula>AND(E$9&gt;=14/24,E$9&lt;20/24)</formula>
    </cfRule>
    <cfRule type="expression" dxfId="2728" priority="325">
      <formula>AND(E$9&gt;=8/24,E$9&lt;14/24)</formula>
    </cfRule>
    <cfRule type="expression" dxfId="2727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726" priority="345">
      <formula>C$9&gt;=20/24</formula>
    </cfRule>
    <cfRule type="expression" dxfId="2725" priority="346">
      <formula>AND(C$9&gt;=14/24,C$9&lt;20/24)</formula>
    </cfRule>
    <cfRule type="expression" dxfId="2724" priority="347">
      <formula>AND(C$9&gt;=8/24,C$9&lt;14/24)</formula>
    </cfRule>
    <cfRule type="expression" dxfId="2723" priority="348">
      <formula>C$9&lt;8/24</formula>
    </cfRule>
  </conditionalFormatting>
  <conditionalFormatting sqref="A233">
    <cfRule type="expression" dxfId="2722" priority="349">
      <formula>$AH233=0</formula>
    </cfRule>
  </conditionalFormatting>
  <conditionalFormatting sqref="AG245">
    <cfRule type="expression" dxfId="2721" priority="350">
      <formula>B$9&gt;=20/24</formula>
    </cfRule>
    <cfRule type="expression" dxfId="2720" priority="351">
      <formula>AND(B$9&gt;=14/24,B$9&lt;20/24)</formula>
    </cfRule>
    <cfRule type="expression" dxfId="2719" priority="352">
      <formula>AND(B$9&gt;=8/24,B$9&lt;14/24)</formula>
    </cfRule>
    <cfRule type="expression" dxfId="2718" priority="353">
      <formula>B$9&lt;8/24</formula>
    </cfRule>
  </conditionalFormatting>
  <conditionalFormatting sqref="S8">
    <cfRule type="expression" dxfId="2717" priority="318">
      <formula>U$9&gt;=20/24</formula>
    </cfRule>
    <cfRule type="expression" dxfId="2716" priority="319">
      <formula>AND(U$9&gt;=14/24,U$9&lt;20/24)</formula>
    </cfRule>
    <cfRule type="expression" dxfId="2715" priority="320">
      <formula>AND(U$9&gt;=8/24,U$9&lt;14/24)</formula>
    </cfRule>
    <cfRule type="expression" dxfId="2714" priority="321">
      <formula>U$9&lt;8/24</formula>
    </cfRule>
  </conditionalFormatting>
  <conditionalFormatting sqref="AB8">
    <cfRule type="expression" dxfId="2713" priority="314">
      <formula>AD$9&gt;=20/24</formula>
    </cfRule>
    <cfRule type="expression" dxfId="2712" priority="315">
      <formula>AND(AD$9&gt;=14/24,AD$9&lt;20/24)</formula>
    </cfRule>
    <cfRule type="expression" dxfId="2711" priority="316">
      <formula>AND(AD$9&gt;=8/24,AD$9&lt;14/24)</formula>
    </cfRule>
    <cfRule type="expression" dxfId="2710" priority="317">
      <formula>AD$9&lt;8/24</formula>
    </cfRule>
  </conditionalFormatting>
  <conditionalFormatting sqref="AH245:AX245">
    <cfRule type="expression" dxfId="2709" priority="354">
      <formula>AG$9&gt;=20/24</formula>
    </cfRule>
    <cfRule type="expression" dxfId="2708" priority="355">
      <formula>AND(AG$9&gt;=14/24,AG$9&lt;20/24)</formula>
    </cfRule>
    <cfRule type="expression" dxfId="2707" priority="356">
      <formula>AND(AG$9&gt;=8/24,AG$9&lt;14/24)</formula>
    </cfRule>
    <cfRule type="expression" dxfId="2706" priority="357">
      <formula>AG$9&lt;8/24</formula>
    </cfRule>
  </conditionalFormatting>
  <conditionalFormatting sqref="T245">
    <cfRule type="expression" dxfId="2705" priority="358">
      <formula>AX$9&gt;=20/24</formula>
    </cfRule>
    <cfRule type="expression" dxfId="2704" priority="359">
      <formula>AND(AX$9&gt;=14/24,AX$9&lt;20/24)</formula>
    </cfRule>
    <cfRule type="expression" dxfId="2703" priority="360">
      <formula>AND(AX$9&gt;=8/24,AX$9&lt;14/24)</formula>
    </cfRule>
    <cfRule type="expression" dxfId="2702" priority="361">
      <formula>AX$9&lt;8/24</formula>
    </cfRule>
  </conditionalFormatting>
  <conditionalFormatting sqref="A115:A116">
    <cfRule type="expression" dxfId="2701" priority="313">
      <formula>$AH115=0</formula>
    </cfRule>
  </conditionalFormatting>
  <conditionalFormatting sqref="P54:S58 T57:U58 F71:AF71 AE54:AF57">
    <cfRule type="expression" dxfId="2700" priority="309">
      <formula>F$9&gt;=20/24</formula>
    </cfRule>
    <cfRule type="expression" dxfId="2699" priority="310">
      <formula>AND(F$9&gt;=14/24,F$9&lt;20/24)</formula>
    </cfRule>
    <cfRule type="expression" dxfId="2698" priority="311">
      <formula>AND(F$9&gt;=8/24,F$9&lt;14/24)</formula>
    </cfRule>
    <cfRule type="expression" dxfId="2697" priority="312">
      <formula>F$9&lt;8/24</formula>
    </cfRule>
  </conditionalFormatting>
  <conditionalFormatting sqref="AE53:AF53 P53:S53">
    <cfRule type="expression" dxfId="2696" priority="305">
      <formula>P$9&gt;=20/24</formula>
    </cfRule>
    <cfRule type="expression" dxfId="2695" priority="306">
      <formula>AND(P$9&gt;=14/24,P$9&lt;20/24)</formula>
    </cfRule>
    <cfRule type="expression" dxfId="2694" priority="307">
      <formula>AND(P$9&gt;=8/24,P$9&lt;14/24)</formula>
    </cfRule>
    <cfRule type="expression" dxfId="2693" priority="308">
      <formula>P$9&lt;8/24</formula>
    </cfRule>
  </conditionalFormatting>
  <conditionalFormatting sqref="P53:S58 T57:U58 AE53:AF57">
    <cfRule type="expression" dxfId="2692" priority="304">
      <formula>P53&gt;$AG53</formula>
    </cfRule>
  </conditionalFormatting>
  <conditionalFormatting sqref="D86:AF86 X96:AF96 AF100:AF106 F73:M73 G72:M72 M100:X106 X47:AF47 N72:AF73 X67:AF69 AA74:AF74">
    <cfRule type="expression" dxfId="2691" priority="300">
      <formula>D$9&gt;=20/24</formula>
    </cfRule>
    <cfRule type="expression" dxfId="2690" priority="301">
      <formula>AND(D$9&gt;=14/24,D$9&lt;20/24)</formula>
    </cfRule>
    <cfRule type="expression" dxfId="2689" priority="302">
      <formula>AND(D$9&gt;=8/24,D$9&lt;14/24)</formula>
    </cfRule>
    <cfRule type="expression" dxfId="2688" priority="303">
      <formula>D$9&lt;8/24</formula>
    </cfRule>
  </conditionalFormatting>
  <conditionalFormatting sqref="X47:AF47 X67:AF69">
    <cfRule type="expression" dxfId="2687" priority="299">
      <formula>X47&gt;$AG47</formula>
    </cfRule>
  </conditionalFormatting>
  <conditionalFormatting sqref="T53:U56 V53:AD58 AE58:AF58">
    <cfRule type="expression" dxfId="2686" priority="295">
      <formula>T$9&gt;=20/24</formula>
    </cfRule>
    <cfRule type="expression" dxfId="2685" priority="296">
      <formula>AND(T$9&gt;=14/24,T$9&lt;20/24)</formula>
    </cfRule>
    <cfRule type="expression" dxfId="2684" priority="297">
      <formula>AND(T$9&gt;=8/24,T$9&lt;14/24)</formula>
    </cfRule>
    <cfRule type="expression" dxfId="2683" priority="298">
      <formula>T$9&lt;8/24</formula>
    </cfRule>
  </conditionalFormatting>
  <conditionalFormatting sqref="T53:U56 V53:AD58 AE58:AF58">
    <cfRule type="expression" dxfId="2682" priority="294">
      <formula>T53&gt;$AG53</formula>
    </cfRule>
  </conditionalFormatting>
  <conditionalFormatting sqref="C97:AF97 D88:AF88">
    <cfRule type="expression" dxfId="2681" priority="290">
      <formula>C$9&gt;=20/24</formula>
    </cfRule>
    <cfRule type="expression" dxfId="2680" priority="291">
      <formula>AND(C$9&gt;=14/24,C$9&lt;20/24)</formula>
    </cfRule>
    <cfRule type="expression" dxfId="2679" priority="292">
      <formula>AND(C$9&gt;=8/24,C$9&lt;14/24)</formula>
    </cfRule>
    <cfRule type="expression" dxfId="2678" priority="293">
      <formula>C$9&lt;8/24</formula>
    </cfRule>
  </conditionalFormatting>
  <conditionalFormatting sqref="T47:W47">
    <cfRule type="expression" dxfId="2677" priority="286">
      <formula>T$9&gt;=20/24</formula>
    </cfRule>
    <cfRule type="expression" dxfId="2676" priority="287">
      <formula>AND(T$9&gt;=14/24,T$9&lt;20/24)</formula>
    </cfRule>
    <cfRule type="expression" dxfId="2675" priority="288">
      <formula>AND(T$9&gt;=8/24,T$9&lt;14/24)</formula>
    </cfRule>
    <cfRule type="expression" dxfId="2674" priority="289">
      <formula>T$9&lt;8/24</formula>
    </cfRule>
  </conditionalFormatting>
  <conditionalFormatting sqref="T47:W47">
    <cfRule type="expression" dxfId="2673" priority="285">
      <formula>T47&gt;$AG47</formula>
    </cfRule>
  </conditionalFormatting>
  <conditionalFormatting sqref="F54:O55">
    <cfRule type="expression" dxfId="2672" priority="281">
      <formula>F$9&gt;=20/24</formula>
    </cfRule>
    <cfRule type="expression" dxfId="2671" priority="282">
      <formula>AND(F$9&gt;=14/24,F$9&lt;20/24)</formula>
    </cfRule>
    <cfRule type="expression" dxfId="2670" priority="283">
      <formula>AND(F$9&gt;=8/24,F$9&lt;14/24)</formula>
    </cfRule>
    <cfRule type="expression" dxfId="2669" priority="284">
      <formula>F$9&lt;8/24</formula>
    </cfRule>
  </conditionalFormatting>
  <conditionalFormatting sqref="F53:O53">
    <cfRule type="expression" dxfId="2668" priority="277">
      <formula>F$9&gt;=20/24</formula>
    </cfRule>
    <cfRule type="expression" dxfId="2667" priority="278">
      <formula>AND(F$9&gt;=14/24,F$9&lt;20/24)</formula>
    </cfRule>
    <cfRule type="expression" dxfId="2666" priority="279">
      <formula>AND(F$9&gt;=8/24,F$9&lt;14/24)</formula>
    </cfRule>
    <cfRule type="expression" dxfId="2665" priority="280">
      <formula>F$9&lt;8/24</formula>
    </cfRule>
  </conditionalFormatting>
  <conditionalFormatting sqref="F53:O55">
    <cfRule type="expression" dxfId="2664" priority="276">
      <formula>F53&gt;$AG53</formula>
    </cfRule>
  </conditionalFormatting>
  <conditionalFormatting sqref="AG70 AG87 E100:L106 S67:W69">
    <cfRule type="expression" dxfId="2663" priority="272">
      <formula>E$9&gt;=20/24</formula>
    </cfRule>
    <cfRule type="expression" dxfId="2662" priority="273">
      <formula>AND(E$9&gt;=14/24,E$9&lt;20/24)</formula>
    </cfRule>
    <cfRule type="expression" dxfId="2661" priority="274">
      <formula>AND(E$9&gt;=8/24,E$9&lt;14/24)</formula>
    </cfRule>
    <cfRule type="expression" dxfId="2660" priority="275">
      <formula>E$9&lt;8/24</formula>
    </cfRule>
  </conditionalFormatting>
  <conditionalFormatting sqref="AG48 AG66 AG70 S67:W69">
    <cfRule type="expression" dxfId="2659" priority="271">
      <formula>S48&gt;$AG48</formula>
    </cfRule>
  </conditionalFormatting>
  <conditionalFormatting sqref="A43">
    <cfRule type="expression" dxfId="2658" priority="265">
      <formula>$AH43=0</formula>
    </cfRule>
  </conditionalFormatting>
  <conditionalFormatting sqref="X91:AF95">
    <cfRule type="expression" dxfId="2657" priority="261">
      <formula>X$9&gt;=20/24</formula>
    </cfRule>
    <cfRule type="expression" dxfId="2656" priority="262">
      <formula>AND(X$9&gt;=14/24,X$9&lt;20/24)</formula>
    </cfRule>
    <cfRule type="expression" dxfId="2655" priority="263">
      <formula>AND(X$9&gt;=8/24,X$9&lt;14/24)</formula>
    </cfRule>
    <cfRule type="expression" dxfId="2654" priority="264">
      <formula>X$9&lt;8/24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F49:I49 G50:I50 K49:M49 J49:K50 L50:M50 N49:O50 P49:AF51">
    <cfRule type="expression" dxfId="2653" priority="257">
      <formula>F$9&gt;=20/24</formula>
    </cfRule>
    <cfRule type="expression" dxfId="2652" priority="258">
      <formula>AND(F$9&gt;=14/24,F$9&lt;20/24)</formula>
    </cfRule>
    <cfRule type="expression" dxfId="2651" priority="259">
      <formula>AND(F$9&gt;=8/24,F$9&lt;14/24)</formula>
    </cfRule>
    <cfRule type="expression" dxfId="2650" priority="260">
      <formula>F$9&lt;8/24</formula>
    </cfRule>
  </conditionalFormatting>
  <conditionalFormatting sqref="F49:I49 G50:I50 K49:M49 J49:K50 L50:M50 N49:O50 P49:AF51">
    <cfRule type="expression" dxfId="2649" priority="256">
      <formula>F49&gt;$AG49</formula>
    </cfRule>
  </conditionalFormatting>
  <conditionalFormatting sqref="AG52">
    <cfRule type="expression" dxfId="2648" priority="252">
      <formula>AG$9&gt;=20/24</formula>
    </cfRule>
    <cfRule type="expression" dxfId="2647" priority="253">
      <formula>AND(AG$9&gt;=14/24,AG$9&lt;20/24)</formula>
    </cfRule>
    <cfRule type="expression" dxfId="2646" priority="254">
      <formula>AND(AG$9&gt;=8/24,AG$9&lt;14/24)</formula>
    </cfRule>
    <cfRule type="expression" dxfId="2645" priority="255">
      <formula>AG$9&lt;8/24</formula>
    </cfRule>
  </conditionalFormatting>
  <conditionalFormatting sqref="AG52">
    <cfRule type="expression" dxfId="2644" priority="251">
      <formula>AG52&gt;$AG52</formula>
    </cfRule>
  </conditionalFormatting>
  <conditionalFormatting sqref="C107:AF107">
    <cfRule type="expression" dxfId="2643" priority="247">
      <formula>C$9&gt;=20/24</formula>
    </cfRule>
    <cfRule type="expression" dxfId="2642" priority="248">
      <formula>AND(C$9&gt;=14/24,C$9&lt;20/24)</formula>
    </cfRule>
    <cfRule type="expression" dxfId="2641" priority="249">
      <formula>AND(C$9&gt;=8/24,C$9&lt;14/24)</formula>
    </cfRule>
    <cfRule type="expression" dxfId="2640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2639" priority="245">
      <formula>$AH40=0</formula>
    </cfRule>
  </conditionalFormatting>
  <conditionalFormatting sqref="A90">
    <cfRule type="expression" dxfId="2638" priority="243">
      <formula>$AH90=0</formula>
    </cfRule>
  </conditionalFormatting>
  <conditionalFormatting sqref="A87">
    <cfRule type="expression" dxfId="2637" priority="244">
      <formula>$AH87=0</formula>
    </cfRule>
  </conditionalFormatting>
  <conditionalFormatting sqref="D110:AF110">
    <cfRule type="expression" dxfId="2636" priority="239">
      <formula>D$9&gt;=20/24</formula>
    </cfRule>
    <cfRule type="expression" dxfId="2635" priority="240">
      <formula>AND(D$9&gt;=14/24,D$9&lt;20/24)</formula>
    </cfRule>
    <cfRule type="expression" dxfId="2634" priority="241">
      <formula>AND(D$9&gt;=8/24,D$9&lt;14/24)</formula>
    </cfRule>
    <cfRule type="expression" dxfId="2633" priority="242">
      <formula>D$9&lt;8/24</formula>
    </cfRule>
  </conditionalFormatting>
  <conditionalFormatting sqref="A110">
    <cfRule type="expression" dxfId="2632" priority="238">
      <formula>$AH110=0</formula>
    </cfRule>
  </conditionalFormatting>
  <conditionalFormatting sqref="A21">
    <cfRule type="expression" dxfId="2631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630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2629" priority="230">
      <formula>Y$9&gt;=20/24</formula>
    </cfRule>
    <cfRule type="expression" dxfId="2628" priority="231">
      <formula>AND(Y$9&gt;=14/24,Y$9&lt;20/24)</formula>
    </cfRule>
    <cfRule type="expression" dxfId="2627" priority="232">
      <formula>AND(Y$9&gt;=8/24,Y$9&lt;14/24)</formula>
    </cfRule>
    <cfRule type="expression" dxfId="2626" priority="233">
      <formula>Y$9&lt;8/24</formula>
    </cfRule>
  </conditionalFormatting>
  <conditionalFormatting sqref="Y100:AE106">
    <cfRule type="expression" dxfId="2625" priority="226">
      <formula>Y$9&gt;=20/24</formula>
    </cfRule>
    <cfRule type="expression" dxfId="2624" priority="227">
      <formula>AND(Y$9&gt;=14/24,Y$9&lt;20/24)</formula>
    </cfRule>
    <cfRule type="expression" dxfId="2623" priority="228">
      <formula>AND(Y$9&gt;=8/24,Y$9&lt;14/24)</formula>
    </cfRule>
    <cfRule type="expression" dxfId="2622" priority="229">
      <formula>Y$9&lt;8/24</formula>
    </cfRule>
  </conditionalFormatting>
  <conditionalFormatting sqref="C109 C111:C116 P25:AF27">
    <cfRule type="expression" dxfId="2621" priority="222">
      <formula>C$9&gt;=20/24</formula>
    </cfRule>
    <cfRule type="expression" dxfId="2620" priority="223">
      <formula>AND(C$9&gt;=14/24,C$9&lt;20/24)</formula>
    </cfRule>
    <cfRule type="expression" dxfId="2619" priority="224">
      <formula>AND(C$9&gt;=8/24,C$9&lt;14/24)</formula>
    </cfRule>
    <cfRule type="expression" dxfId="2618" priority="225">
      <formula>C$9&lt;8/24</formula>
    </cfRule>
  </conditionalFormatting>
  <conditionalFormatting sqref="C47:S47">
    <cfRule type="expression" dxfId="2617" priority="218">
      <formula>C$9&gt;=20/24</formula>
    </cfRule>
    <cfRule type="expression" dxfId="2616" priority="219">
      <formula>AND(C$9&gt;=14/24,C$9&lt;20/24)</formula>
    </cfRule>
    <cfRule type="expression" dxfId="2615" priority="220">
      <formula>AND(C$9&gt;=8/24,C$9&lt;14/24)</formula>
    </cfRule>
    <cfRule type="expression" dxfId="2614" priority="221">
      <formula>C$9&lt;8/24</formula>
    </cfRule>
  </conditionalFormatting>
  <conditionalFormatting sqref="C47:S47 P25:AF27">
    <cfRule type="expression" dxfId="2613" priority="217">
      <formula>C25&gt;$AG25</formula>
    </cfRule>
  </conditionalFormatting>
  <conditionalFormatting sqref="C99:D99">
    <cfRule type="expression" dxfId="2612" priority="213">
      <formula>C$9&gt;=20/24</formula>
    </cfRule>
    <cfRule type="expression" dxfId="2611" priority="214">
      <formula>AND(C$9&gt;=14/24,C$9&lt;20/24)</formula>
    </cfRule>
    <cfRule type="expression" dxfId="2610" priority="215">
      <formula>AND(C$9&gt;=8/24,C$9&lt;14/24)</formula>
    </cfRule>
    <cfRule type="expression" dxfId="2609" priority="216">
      <formula>C$9&lt;8/24</formula>
    </cfRule>
  </conditionalFormatting>
  <conditionalFormatting sqref="C86 C96:W96 C83:AF85 D100:D106 P75:R76 F74:R74 O67:R69 S74:Z76 AA75:AF76">
    <cfRule type="expression" dxfId="2608" priority="209">
      <formula>C$9&gt;=20/24</formula>
    </cfRule>
    <cfRule type="expression" dxfId="2607" priority="210">
      <formula>AND(C$9&gt;=14/24,C$9&lt;20/24)</formula>
    </cfRule>
    <cfRule type="expression" dxfId="2606" priority="211">
      <formula>AND(C$9&gt;=8/24,C$9&lt;14/24)</formula>
    </cfRule>
    <cfRule type="expression" dxfId="2605" priority="212">
      <formula>C$9&lt;8/24</formula>
    </cfRule>
  </conditionalFormatting>
  <conditionalFormatting sqref="F56:L56 I57:L57 M56:O57 O67:R69">
    <cfRule type="expression" dxfId="2604" priority="208">
      <formula>F56&gt;$AG56</formula>
    </cfRule>
  </conditionalFormatting>
  <conditionalFormatting sqref="I58:O58">
    <cfRule type="expression" dxfId="2603" priority="204">
      <formula>I$9&gt;=20/24</formula>
    </cfRule>
    <cfRule type="expression" dxfId="2602" priority="205">
      <formula>AND(I$9&gt;=14/24,I$9&lt;20/24)</formula>
    </cfRule>
    <cfRule type="expression" dxfId="2601" priority="206">
      <formula>AND(I$9&gt;=8/24,I$9&lt;14/24)</formula>
    </cfRule>
    <cfRule type="expression" dxfId="2600" priority="207">
      <formula>I$9&lt;8/24</formula>
    </cfRule>
  </conditionalFormatting>
  <conditionalFormatting sqref="I58:O58">
    <cfRule type="expression" dxfId="2599" priority="203">
      <formula>I58&gt;$AG58</formula>
    </cfRule>
  </conditionalFormatting>
  <conditionalFormatting sqref="B54:E57 B71:E71 F57:H57">
    <cfRule type="expression" dxfId="2598" priority="132">
      <formula>B$9&gt;=20/24</formula>
    </cfRule>
    <cfRule type="expression" dxfId="2597" priority="133">
      <formula>AND(B$9&gt;=14/24,B$9&lt;20/24)</formula>
    </cfRule>
    <cfRule type="expression" dxfId="2596" priority="134">
      <formula>AND(B$9&gt;=8/24,B$9&lt;14/24)</formula>
    </cfRule>
    <cfRule type="expression" dxfId="2595" priority="135">
      <formula>B$9&lt;8/24</formula>
    </cfRule>
  </conditionalFormatting>
  <conditionalFormatting sqref="C87:AF87 C89:AF89 C98:AF98 C70:AF70">
    <cfRule type="expression" dxfId="2594" priority="199">
      <formula>C$9&gt;=20/24</formula>
    </cfRule>
    <cfRule type="expression" dxfId="2593" priority="200">
      <formula>AND(C$9&gt;=14/24,C$9&lt;20/24)</formula>
    </cfRule>
    <cfRule type="expression" dxfId="2592" priority="201">
      <formula>AND(C$9&gt;=8/24,C$9&lt;14/24)</formula>
    </cfRule>
    <cfRule type="expression" dxfId="2591" priority="202">
      <formula>C$9&lt;8/24</formula>
    </cfRule>
  </conditionalFormatting>
  <conditionalFormatting sqref="C70:AF70 C65:AF66">
    <cfRule type="expression" dxfId="2590" priority="198">
      <formula>C65&gt;$AG65</formula>
    </cfRule>
  </conditionalFormatting>
  <conditionalFormatting sqref="C82:AF82">
    <cfRule type="expression" dxfId="2589" priority="194">
      <formula>C$9&gt;=20/24</formula>
    </cfRule>
    <cfRule type="expression" dxfId="2588" priority="195">
      <formula>AND(C$9&gt;=14/24,C$9&lt;20/24)</formula>
    </cfRule>
    <cfRule type="expression" dxfId="2587" priority="196">
      <formula>AND(C$9&gt;=8/24,C$9&lt;14/24)</formula>
    </cfRule>
    <cfRule type="expression" dxfId="2586" priority="197">
      <formula>C$9&lt;8/24</formula>
    </cfRule>
  </conditionalFormatting>
  <conditionalFormatting sqref="C91:W95">
    <cfRule type="expression" dxfId="2585" priority="190">
      <formula>C$9&gt;=20/24</formula>
    </cfRule>
    <cfRule type="expression" dxfId="2584" priority="191">
      <formula>AND(C$9&gt;=14/24,C$9&lt;20/24)</formula>
    </cfRule>
    <cfRule type="expression" dxfId="2583" priority="192">
      <formula>AND(C$9&gt;=8/24,C$9&lt;14/24)</formula>
    </cfRule>
    <cfRule type="expression" dxfId="2582" priority="193">
      <formula>C$9&lt;8/24</formula>
    </cfRule>
  </conditionalFormatting>
  <conditionalFormatting sqref="C52:AF52">
    <cfRule type="expression" dxfId="2581" priority="186">
      <formula>C$9&gt;=20/24</formula>
    </cfRule>
    <cfRule type="expression" dxfId="2580" priority="187">
      <formula>AND(C$9&gt;=14/24,C$9&lt;20/24)</formula>
    </cfRule>
    <cfRule type="expression" dxfId="2579" priority="188">
      <formula>AND(C$9&gt;=8/24,C$9&lt;14/24)</formula>
    </cfRule>
    <cfRule type="expression" dxfId="2578" priority="189">
      <formula>C$9&lt;8/24</formula>
    </cfRule>
  </conditionalFormatting>
  <conditionalFormatting sqref="C52:AF52">
    <cfRule type="expression" dxfId="2577" priority="185">
      <formula>C52&gt;$AG52</formula>
    </cfRule>
  </conditionalFormatting>
  <conditionalFormatting sqref="B49:E51 F50:F51 G51:O51">
    <cfRule type="expression" dxfId="2576" priority="100">
      <formula>B$9&gt;=20/24</formula>
    </cfRule>
    <cfRule type="expression" dxfId="2575" priority="101">
      <formula>AND(B$9&gt;=14/24,B$9&lt;20/24)</formula>
    </cfRule>
    <cfRule type="expression" dxfId="2574" priority="102">
      <formula>AND(B$9&gt;=8/24,B$9&lt;14/24)</formula>
    </cfRule>
    <cfRule type="expression" dxfId="2573" priority="103">
      <formula>B$9&lt;8/24</formula>
    </cfRule>
  </conditionalFormatting>
  <conditionalFormatting sqref="C110">
    <cfRule type="expression" dxfId="2572" priority="177">
      <formula>C$9&gt;=20/24</formula>
    </cfRule>
    <cfRule type="expression" dxfId="2571" priority="178">
      <formula>AND(C$9&gt;=14/24,C$9&lt;20/24)</formula>
    </cfRule>
    <cfRule type="expression" dxfId="2570" priority="179">
      <formula>AND(C$9&gt;=8/24,C$9&lt;14/24)</formula>
    </cfRule>
    <cfRule type="expression" dxfId="2569" priority="180">
      <formula>C$9&lt;8/24</formula>
    </cfRule>
  </conditionalFormatting>
  <conditionalFormatting sqref="P59:AF64">
    <cfRule type="expression" dxfId="2568" priority="173">
      <formula>P$9&gt;=20/24</formula>
    </cfRule>
    <cfRule type="expression" dxfId="2567" priority="174">
      <formula>AND(P$9&gt;=14/24,P$9&lt;20/24)</formula>
    </cfRule>
    <cfRule type="expression" dxfId="2566" priority="175">
      <formula>AND(P$9&gt;=8/24,P$9&lt;14/24)</formula>
    </cfRule>
    <cfRule type="expression" dxfId="2565" priority="176">
      <formula>P$9&lt;8/24</formula>
    </cfRule>
  </conditionalFormatting>
  <conditionalFormatting sqref="P59:AF64">
    <cfRule type="expression" dxfId="2564" priority="172">
      <formula>P59&gt;$AG59</formula>
    </cfRule>
  </conditionalFormatting>
  <conditionalFormatting sqref="P77:AF81">
    <cfRule type="expression" dxfId="2563" priority="154">
      <formula>P$9&gt;=20/24</formula>
    </cfRule>
    <cfRule type="expression" dxfId="2562" priority="155">
      <formula>AND(P$9&gt;=14/24,P$9&lt;20/24)</formula>
    </cfRule>
    <cfRule type="expression" dxfId="2561" priority="156">
      <formula>AND(P$9&gt;=8/24,P$9&lt;14/24)</formula>
    </cfRule>
    <cfRule type="expression" dxfId="2560" priority="157">
      <formula>P$9&lt;8/24</formula>
    </cfRule>
  </conditionalFormatting>
  <conditionalFormatting sqref="AL78:AN78 AL84:AN84 AN79:AN80">
    <cfRule type="expression" dxfId="2559" priority="150">
      <formula>AL$9&gt;=20/24</formula>
    </cfRule>
    <cfRule type="expression" dxfId="2558" priority="151">
      <formula>AND(AL$9&gt;=14/24,AL$9&lt;20/24)</formula>
    </cfRule>
    <cfRule type="expression" dxfId="2557" priority="152">
      <formula>AND(AL$9&gt;=8/24,AL$9&lt;14/24)</formula>
    </cfRule>
    <cfRule type="expression" dxfId="2556" priority="153">
      <formula>AL$9&lt;8/24</formula>
    </cfRule>
  </conditionalFormatting>
  <conditionalFormatting sqref="AN81:AN82">
    <cfRule type="expression" dxfId="2555" priority="146">
      <formula>AN$9&gt;=20/24</formula>
    </cfRule>
    <cfRule type="expression" dxfId="2554" priority="147">
      <formula>AND(AN$9&gt;=14/24,AN$9&lt;20/24)</formula>
    </cfRule>
    <cfRule type="expression" dxfId="2553" priority="148">
      <formula>AND(AN$9&gt;=8/24,AN$9&lt;14/24)</formula>
    </cfRule>
    <cfRule type="expression" dxfId="2552" priority="149">
      <formula>AN$9&lt;8/24</formula>
    </cfRule>
  </conditionalFormatting>
  <conditionalFormatting sqref="AL79:AM83">
    <cfRule type="expression" dxfId="2551" priority="363">
      <formula>AJ$9&gt;=20/24</formula>
    </cfRule>
    <cfRule type="expression" dxfId="2550" priority="364">
      <formula>AND(AJ$9&gt;=14/24,AJ$9&lt;20/24)</formula>
    </cfRule>
    <cfRule type="expression" dxfId="2549" priority="365">
      <formula>AND(AJ$9&gt;=8/24,AJ$9&lt;14/24)</formula>
    </cfRule>
    <cfRule type="expression" dxfId="2548" priority="366">
      <formula>AJ$9&lt;8/24</formula>
    </cfRule>
  </conditionalFormatting>
  <conditionalFormatting sqref="A117">
    <cfRule type="expression" dxfId="2547" priority="145">
      <formula>$AH117=0</formula>
    </cfRule>
  </conditionalFormatting>
  <conditionalFormatting sqref="B109 B111:B116 B25:O32 B12:AF15 B45:AF45 P28:AF32 B34:AF43 B17:AF24">
    <cfRule type="expression" dxfId="2546" priority="141">
      <formula>B$9&gt;=20/24</formula>
    </cfRule>
    <cfRule type="expression" dxfId="2545" priority="142">
      <formula>AND(B$9&gt;=14/24,B$9&lt;20/24)</formula>
    </cfRule>
    <cfRule type="expression" dxfId="2544" priority="143">
      <formula>AND(B$9&gt;=8/24,B$9&lt;14/24)</formula>
    </cfRule>
    <cfRule type="expression" dxfId="2543" priority="144">
      <formula>B$9&lt;8/24</formula>
    </cfRule>
  </conditionalFormatting>
  <conditionalFormatting sqref="B25:O32 B12:AF15 B45:AF45 P28:AF32 B34:AF43 B17:AF24">
    <cfRule type="expression" dxfId="2542" priority="140">
      <formula>B12&gt;$AG12</formula>
    </cfRule>
  </conditionalFormatting>
  <conditionalFormatting sqref="B99">
    <cfRule type="expression" dxfId="2541" priority="136">
      <formula>B$9&gt;=20/24</formula>
    </cfRule>
    <cfRule type="expression" dxfId="2540" priority="137">
      <formula>AND(B$9&gt;=14/24,B$9&lt;20/24)</formula>
    </cfRule>
    <cfRule type="expression" dxfId="2539" priority="138">
      <formula>AND(B$9&gt;=8/24,B$9&lt;14/24)</formula>
    </cfRule>
    <cfRule type="expression" dxfId="2538" priority="139">
      <formula>B$9&lt;8/24</formula>
    </cfRule>
  </conditionalFormatting>
  <conditionalFormatting sqref="B53:E53">
    <cfRule type="expression" dxfId="2537" priority="128">
      <formula>B$9&gt;=20/24</formula>
    </cfRule>
    <cfRule type="expression" dxfId="2536" priority="129">
      <formula>AND(B$9&gt;=14/24,B$9&lt;20/24)</formula>
    </cfRule>
    <cfRule type="expression" dxfId="2535" priority="130">
      <formula>AND(B$9&gt;=8/24,B$9&lt;14/24)</formula>
    </cfRule>
    <cfRule type="expression" dxfId="2534" priority="131">
      <formula>B$9&lt;8/24</formula>
    </cfRule>
  </conditionalFormatting>
  <conditionalFormatting sqref="B53:E57 F57:H57">
    <cfRule type="expression" dxfId="2533" priority="127">
      <formula>B53&gt;$AG53</formula>
    </cfRule>
  </conditionalFormatting>
  <conditionalFormatting sqref="B96 B86 B47 B100:C106 B72:E74 F72 B67:N69">
    <cfRule type="expression" dxfId="2532" priority="123">
      <formula>B$9&gt;=20/24</formula>
    </cfRule>
    <cfRule type="expression" dxfId="2531" priority="124">
      <formula>AND(B$9&gt;=14/24,B$9&lt;20/24)</formula>
    </cfRule>
    <cfRule type="expression" dxfId="2530" priority="125">
      <formula>AND(B$9&gt;=8/24,B$9&lt;14/24)</formula>
    </cfRule>
    <cfRule type="expression" dxfId="2529" priority="126">
      <formula>B$9&lt;8/24</formula>
    </cfRule>
  </conditionalFormatting>
  <conditionalFormatting sqref="B47 B67:N69">
    <cfRule type="expression" dxfId="2528" priority="122">
      <formula>B47&gt;$AG47</formula>
    </cfRule>
  </conditionalFormatting>
  <conditionalFormatting sqref="B97 B88:C88">
    <cfRule type="expression" dxfId="2527" priority="118">
      <formula>B$9&gt;=20/24</formula>
    </cfRule>
    <cfRule type="expression" dxfId="2526" priority="119">
      <formula>AND(B$9&gt;=14/24,B$9&lt;20/24)</formula>
    </cfRule>
    <cfRule type="expression" dxfId="2525" priority="120">
      <formula>AND(B$9&gt;=8/24,B$9&lt;14/24)</formula>
    </cfRule>
    <cfRule type="expression" dxfId="2524" priority="121">
      <formula>B$9&lt;8/24</formula>
    </cfRule>
  </conditionalFormatting>
  <conditionalFormatting sqref="B46:AF46">
    <cfRule type="expression" dxfId="2523" priority="114">
      <formula>B$9&gt;=20/24</formula>
    </cfRule>
    <cfRule type="expression" dxfId="2522" priority="115">
      <formula>AND(B$9&gt;=14/24,B$9&lt;20/24)</formula>
    </cfRule>
    <cfRule type="expression" dxfId="2521" priority="116">
      <formula>AND(B$9&gt;=8/24,B$9&lt;14/24)</formula>
    </cfRule>
    <cfRule type="expression" dxfId="2520" priority="117">
      <formula>B$9&lt;8/24</formula>
    </cfRule>
  </conditionalFormatting>
  <conditionalFormatting sqref="B46:AF46">
    <cfRule type="expression" dxfId="2519" priority="113">
      <formula>B46&gt;$AG46</formula>
    </cfRule>
  </conditionalFormatting>
  <conditionalFormatting sqref="B58:H58">
    <cfRule type="expression" dxfId="2518" priority="109">
      <formula>B$9&gt;=20/24</formula>
    </cfRule>
    <cfRule type="expression" dxfId="2517" priority="110">
      <formula>AND(B$9&gt;=14/24,B$9&lt;20/24)</formula>
    </cfRule>
    <cfRule type="expression" dxfId="2516" priority="111">
      <formula>AND(B$9&gt;=8/24,B$9&lt;14/24)</formula>
    </cfRule>
    <cfRule type="expression" dxfId="2515" priority="112">
      <formula>B$9&lt;8/24</formula>
    </cfRule>
  </conditionalFormatting>
  <conditionalFormatting sqref="B58:H58">
    <cfRule type="expression" dxfId="2514" priority="108">
      <formula>B58&gt;$AG58</formula>
    </cfRule>
  </conditionalFormatting>
  <conditionalFormatting sqref="B91:B95">
    <cfRule type="expression" dxfId="2513" priority="104">
      <formula>B$9&gt;=20/24</formula>
    </cfRule>
    <cfRule type="expression" dxfId="2512" priority="105">
      <formula>AND(B$9&gt;=14/24,B$9&lt;20/24)</formula>
    </cfRule>
    <cfRule type="expression" dxfId="2511" priority="106">
      <formula>AND(B$9&gt;=8/24,B$9&lt;14/24)</formula>
    </cfRule>
    <cfRule type="expression" dxfId="2510" priority="107">
      <formula>B$9&lt;8/24</formula>
    </cfRule>
  </conditionalFormatting>
  <conditionalFormatting sqref="B49:E51 F50:F51 G51:O51">
    <cfRule type="expression" dxfId="2509" priority="99">
      <formula>B49&gt;$AG49</formula>
    </cfRule>
  </conditionalFormatting>
  <conditionalFormatting sqref="B107">
    <cfRule type="expression" dxfId="2508" priority="95">
      <formula>B$9&gt;=20/24</formula>
    </cfRule>
    <cfRule type="expression" dxfId="2507" priority="96">
      <formula>AND(B$9&gt;=14/24,B$9&lt;20/24)</formula>
    </cfRule>
    <cfRule type="expression" dxfId="2506" priority="97">
      <formula>AND(B$9&gt;=8/24,B$9&lt;14/24)</formula>
    </cfRule>
    <cfRule type="expression" dxfId="2505" priority="98">
      <formula>B$9&lt;8/24</formula>
    </cfRule>
  </conditionalFormatting>
  <conditionalFormatting sqref="B110">
    <cfRule type="expression" dxfId="2504" priority="91">
      <formula>B$9&gt;=20/24</formula>
    </cfRule>
    <cfRule type="expression" dxfId="2503" priority="92">
      <formula>AND(B$9&gt;=14/24,B$9&lt;20/24)</formula>
    </cfRule>
    <cfRule type="expression" dxfId="2502" priority="93">
      <formula>AND(B$9&gt;=8/24,B$9&lt;14/24)</formula>
    </cfRule>
    <cfRule type="expression" dxfId="2501" priority="94">
      <formula>B$9&lt;8/24</formula>
    </cfRule>
  </conditionalFormatting>
  <conditionalFormatting sqref="B83:B85 B75:O76">
    <cfRule type="expression" dxfId="2500" priority="87">
      <formula>B$9&gt;=20/24</formula>
    </cfRule>
    <cfRule type="expression" dxfId="2499" priority="88">
      <formula>AND(B$9&gt;=14/24,B$9&lt;20/24)</formula>
    </cfRule>
    <cfRule type="expression" dxfId="2498" priority="89">
      <formula>AND(B$9&gt;=8/24,B$9&lt;14/24)</formula>
    </cfRule>
    <cfRule type="expression" dxfId="2497" priority="90">
      <formula>B$9&lt;8/24</formula>
    </cfRule>
  </conditionalFormatting>
  <conditionalFormatting sqref="B89 B98 B70 B87">
    <cfRule type="expression" dxfId="2496" priority="83">
      <formula>B$9&gt;=20/24</formula>
    </cfRule>
    <cfRule type="expression" dxfId="2495" priority="84">
      <formula>AND(B$9&gt;=14/24,B$9&lt;20/24)</formula>
    </cfRule>
    <cfRule type="expression" dxfId="2494" priority="85">
      <formula>AND(B$9&gt;=8/24,B$9&lt;14/24)</formula>
    </cfRule>
    <cfRule type="expression" dxfId="2493" priority="86">
      <formula>B$9&lt;8/24</formula>
    </cfRule>
  </conditionalFormatting>
  <conditionalFormatting sqref="B65:B66 B70 B48:AF48">
    <cfRule type="expression" dxfId="2492" priority="82">
      <formula>B48&gt;$AG48</formula>
    </cfRule>
  </conditionalFormatting>
  <conditionalFormatting sqref="B82">
    <cfRule type="expression" dxfId="2491" priority="78">
      <formula>B$9&gt;=20/24</formula>
    </cfRule>
    <cfRule type="expression" dxfId="2490" priority="79">
      <formula>AND(B$9&gt;=14/24,B$9&lt;20/24)</formula>
    </cfRule>
    <cfRule type="expression" dxfId="2489" priority="80">
      <formula>AND(B$9&gt;=8/24,B$9&lt;14/24)</formula>
    </cfRule>
    <cfRule type="expression" dxfId="2488" priority="81">
      <formula>B$9&lt;8/24</formula>
    </cfRule>
  </conditionalFormatting>
  <conditionalFormatting sqref="B52">
    <cfRule type="expression" dxfId="2487" priority="74">
      <formula>B$9&gt;=20/24</formula>
    </cfRule>
    <cfRule type="expression" dxfId="2486" priority="75">
      <formula>AND(B$9&gt;=14/24,B$9&lt;20/24)</formula>
    </cfRule>
    <cfRule type="expression" dxfId="2485" priority="76">
      <formula>AND(B$9&gt;=8/24,B$9&lt;14/24)</formula>
    </cfRule>
    <cfRule type="expression" dxfId="2484" priority="77">
      <formula>B$9&lt;8/24</formula>
    </cfRule>
  </conditionalFormatting>
  <conditionalFormatting sqref="B52">
    <cfRule type="expression" dxfId="2483" priority="73">
      <formula>B52&gt;$AG52</formula>
    </cfRule>
  </conditionalFormatting>
  <conditionalFormatting sqref="B59:O64">
    <cfRule type="expression" dxfId="2482" priority="65">
      <formula>B$9&gt;=20/24</formula>
    </cfRule>
    <cfRule type="expression" dxfId="2481" priority="66">
      <formula>AND(B$9&gt;=14/24,B$9&lt;20/24)</formula>
    </cfRule>
    <cfRule type="expression" dxfId="2480" priority="67">
      <formula>AND(B$9&gt;=8/24,B$9&lt;14/24)</formula>
    </cfRule>
    <cfRule type="expression" dxfId="2479" priority="68">
      <formula>B$9&lt;8/24</formula>
    </cfRule>
  </conditionalFormatting>
  <conditionalFormatting sqref="B59:O64">
    <cfRule type="expression" dxfId="2478" priority="64">
      <formula>B59&gt;$AG59</formula>
    </cfRule>
  </conditionalFormatting>
  <conditionalFormatting sqref="B77:O81">
    <cfRule type="expression" dxfId="2477" priority="60">
      <formula>B$9&gt;=20/24</formula>
    </cfRule>
    <cfRule type="expression" dxfId="2476" priority="61">
      <formula>AND(B$9&gt;=14/24,B$9&lt;20/24)</formula>
    </cfRule>
    <cfRule type="expression" dxfId="2475" priority="62">
      <formula>AND(B$9&gt;=8/24,B$9&lt;14/24)</formula>
    </cfRule>
    <cfRule type="expression" dxfId="2474" priority="63">
      <formula>B$9&lt;8/24</formula>
    </cfRule>
  </conditionalFormatting>
  <conditionalFormatting sqref="A11">
    <cfRule type="expression" dxfId="2473" priority="59">
      <formula>$AH11=0</formula>
    </cfRule>
  </conditionalFormatting>
  <conditionalFormatting sqref="B11:AF11">
    <cfRule type="expression" dxfId="2472" priority="50">
      <formula>B$9&gt;=20/24</formula>
    </cfRule>
    <cfRule type="expression" dxfId="2471" priority="51">
      <formula>AND(B$9&gt;=14/24,B$9&lt;20/24)</formula>
    </cfRule>
    <cfRule type="expression" dxfId="2470" priority="52">
      <formula>AND(B$9&gt;=8/24,B$9&lt;14/24)</formula>
    </cfRule>
    <cfRule type="expression" dxfId="2469" priority="53">
      <formula>B$9&lt;8/24</formula>
    </cfRule>
  </conditionalFormatting>
  <conditionalFormatting sqref="B11:AF11">
    <cfRule type="expression" dxfId="2468" priority="49">
      <formula>B11&gt;$AG11</formula>
    </cfRule>
  </conditionalFormatting>
  <conditionalFormatting sqref="A16">
    <cfRule type="expression" dxfId="2467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B16:AF16">
    <cfRule type="expression" dxfId="2466" priority="38">
      <formula>B$9&gt;=20/24</formula>
    </cfRule>
    <cfRule type="expression" dxfId="2465" priority="39">
      <formula>AND(B$9&gt;=14/24,B$9&lt;20/24)</formula>
    </cfRule>
    <cfRule type="expression" dxfId="2464" priority="40">
      <formula>AND(B$9&gt;=8/24,B$9&lt;14/24)</formula>
    </cfRule>
    <cfRule type="expression" dxfId="2463" priority="41">
      <formula>B$9&lt;8/24</formula>
    </cfRule>
  </conditionalFormatting>
  <conditionalFormatting sqref="B16:AF16">
    <cfRule type="expression" dxfId="2462" priority="37">
      <formula>B16&gt;$AG16</formula>
    </cfRule>
  </conditionalFormatting>
  <conditionalFormatting sqref="A33">
    <cfRule type="expression" dxfId="2461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B33:AF33">
    <cfRule type="expression" dxfId="2460" priority="26">
      <formula>B$9&gt;=20/24</formula>
    </cfRule>
    <cfRule type="expression" dxfId="2459" priority="27">
      <formula>AND(B$9&gt;=14/24,B$9&lt;20/24)</formula>
    </cfRule>
    <cfRule type="expression" dxfId="2458" priority="28">
      <formula>AND(B$9&gt;=8/24,B$9&lt;14/24)</formula>
    </cfRule>
    <cfRule type="expression" dxfId="2457" priority="29">
      <formula>B$9&lt;8/24</formula>
    </cfRule>
  </conditionalFormatting>
  <conditionalFormatting sqref="B33:AF33">
    <cfRule type="expression" dxfId="2456" priority="25">
      <formula>B33&gt;$AG33</formula>
    </cfRule>
  </conditionalFormatting>
  <conditionalFormatting sqref="A44">
    <cfRule type="expression" dxfId="2455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B44:AF44">
    <cfRule type="expression" dxfId="2454" priority="14">
      <formula>B$9&gt;=20/24</formula>
    </cfRule>
    <cfRule type="expression" dxfId="2453" priority="15">
      <formula>AND(B$9&gt;=14/24,B$9&lt;20/24)</formula>
    </cfRule>
    <cfRule type="expression" dxfId="2452" priority="16">
      <formula>AND(B$9&gt;=8/24,B$9&lt;14/24)</formula>
    </cfRule>
    <cfRule type="expression" dxfId="2451" priority="17">
      <formula>B$9&lt;8/24</formula>
    </cfRule>
  </conditionalFormatting>
  <conditionalFormatting sqref="B44:AF44">
    <cfRule type="expression" dxfId="2450" priority="13">
      <formula>B44&gt;$AG44</formula>
    </cfRule>
  </conditionalFormatting>
  <conditionalFormatting sqref="B117">
    <cfRule type="expression" dxfId="2449" priority="1">
      <formula>B$9&gt;=20/24</formula>
    </cfRule>
    <cfRule type="expression" dxfId="2448" priority="2">
      <formula>AND(B$9&gt;=14/24,B$9&lt;20/24)</formula>
    </cfRule>
    <cfRule type="expression" dxfId="2447" priority="3">
      <formula>AND(B$9&gt;=8/24,B$9&lt;14/24)</formula>
    </cfRule>
    <cfRule type="expression" dxfId="2446" priority="4">
      <formula>B$9&lt;8/24</formula>
    </cfRule>
  </conditionalFormatting>
  <conditionalFormatting sqref="D117:AF117">
    <cfRule type="expression" dxfId="2445" priority="9">
      <formula>D$9&gt;=20/24</formula>
    </cfRule>
    <cfRule type="expression" dxfId="2444" priority="10">
      <formula>AND(D$9&gt;=14/24,D$9&lt;20/24)</formula>
    </cfRule>
    <cfRule type="expression" dxfId="2443" priority="11">
      <formula>AND(D$9&gt;=8/24,D$9&lt;14/24)</formula>
    </cfRule>
    <cfRule type="expression" dxfId="2442" priority="12">
      <formula>D$9&lt;8/24</formula>
    </cfRule>
  </conditionalFormatting>
  <conditionalFormatting sqref="C117">
    <cfRule type="expression" dxfId="2441" priority="5">
      <formula>C$9&gt;=20/24</formula>
    </cfRule>
    <cfRule type="expression" dxfId="2440" priority="6">
      <formula>AND(C$9&gt;=14/24,C$9&lt;20/24)</formula>
    </cfRule>
    <cfRule type="expression" dxfId="2439" priority="7">
      <formula>AND(C$9&gt;=8/24,C$9&lt;14/24)</formula>
    </cfRule>
    <cfRule type="expression" dxfId="2438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0D8ACFA0-A2A3-49EE-80EF-A7556796C74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7EE8AA0C-174C-4232-880E-1584511E94F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4A4D77C2-68CF-4615-BDD9-AAF9E7DC4D4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B16C419A-F2CA-4E69-9197-3344C9C4E28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0DF77355-B8CC-4B76-9EA8-F114C531B95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17C76DD6-6101-4E9F-AD84-B6D814E5341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335E3EAF-F005-43B2-A471-CE780E4F18A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932E8188-D964-483F-BE11-E822D7762F8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="90" zoomScaleNormal="90" workbookViewId="0">
      <pane ySplit="10" topLeftCell="A11" activePane="bottomLeft" state="frozen"/>
      <selection activeCell="Z85" sqref="Z85"/>
      <selection pane="bottomLeft" activeCell="M114" sqref="M114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9.5703125" style="2" customWidth="1"/>
    <col min="11" max="11" width="7.42578125" style="2" customWidth="1"/>
    <col min="12" max="12" width="7.7109375" style="2" customWidth="1"/>
    <col min="13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8.710937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2079/12/22</v>
      </c>
      <c r="C4" s="236"/>
      <c r="D4" s="236"/>
      <c r="E4" s="237" t="str">
        <f ca="1">"2079/"&amp;"12/"&amp;INT(MID(CELL("filename",G6),FIND("]",CELL("filename",G6))+1,200))</f>
        <v>2079/12/22</v>
      </c>
      <c r="F4" s="237"/>
      <c r="G4" s="237"/>
      <c r="H4" s="237" t="str">
        <f ca="1">TEXT(E4,"dddd")</f>
        <v>Friday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365</v>
      </c>
      <c r="C5" s="33">
        <f t="shared" si="0"/>
        <v>331</v>
      </c>
      <c r="D5" s="33">
        <f t="shared" si="0"/>
        <v>331</v>
      </c>
      <c r="E5" s="33">
        <f t="shared" si="0"/>
        <v>347</v>
      </c>
      <c r="F5" s="33">
        <f t="shared" si="0"/>
        <v>340</v>
      </c>
      <c r="G5" s="33">
        <f t="shared" si="0"/>
        <v>355</v>
      </c>
      <c r="H5" s="33">
        <f t="shared" si="0"/>
        <v>350</v>
      </c>
      <c r="I5" s="33">
        <f t="shared" si="0"/>
        <v>360</v>
      </c>
      <c r="J5" s="33">
        <f t="shared" si="0"/>
        <v>402</v>
      </c>
      <c r="K5" s="33">
        <f t="shared" si="0"/>
        <v>402</v>
      </c>
      <c r="L5" s="33">
        <f t="shared" si="0"/>
        <v>395.40000000000003</v>
      </c>
      <c r="M5" s="33">
        <f t="shared" si="0"/>
        <v>433.70000000000005</v>
      </c>
      <c r="N5" s="33">
        <f t="shared" si="0"/>
        <v>448.20000000000005</v>
      </c>
      <c r="O5" s="33">
        <f t="shared" si="0"/>
        <v>455.70000000000005</v>
      </c>
      <c r="P5" s="33">
        <f t="shared" si="0"/>
        <v>446.2</v>
      </c>
      <c r="Q5" s="33">
        <f t="shared" si="0"/>
        <v>458.2</v>
      </c>
      <c r="R5" s="33">
        <f t="shared" si="0"/>
        <v>473</v>
      </c>
      <c r="S5" s="33">
        <f t="shared" si="0"/>
        <v>453</v>
      </c>
      <c r="T5" s="33">
        <f t="shared" si="0"/>
        <v>475</v>
      </c>
      <c r="U5" s="33">
        <f t="shared" si="0"/>
        <v>475</v>
      </c>
      <c r="V5" s="33">
        <f t="shared" si="0"/>
        <v>459</v>
      </c>
      <c r="W5" s="33">
        <f t="shared" si="0"/>
        <v>468</v>
      </c>
      <c r="X5" s="33">
        <f t="shared" si="0"/>
        <v>468</v>
      </c>
      <c r="Y5" s="33">
        <f t="shared" si="0"/>
        <v>378</v>
      </c>
      <c r="Z5" s="33">
        <f t="shared" si="0"/>
        <v>326</v>
      </c>
      <c r="AA5" s="33">
        <f t="shared" si="0"/>
        <v>333.1</v>
      </c>
      <c r="AB5" s="33">
        <f t="shared" si="0"/>
        <v>370</v>
      </c>
      <c r="AC5" s="33">
        <f t="shared" si="0"/>
        <v>376</v>
      </c>
      <c r="AD5" s="33">
        <f t="shared" si="0"/>
        <v>404</v>
      </c>
      <c r="AE5" s="33">
        <f t="shared" si="0"/>
        <v>387.7</v>
      </c>
      <c r="AF5" s="33">
        <f>B82</f>
        <v>367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1487MW at 7:30hr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Load=1180</v>
      </c>
      <c r="B7" s="38">
        <f t="shared" ref="B7:AF7" si="1">B89</f>
        <v>1218.24</v>
      </c>
      <c r="C7" s="38">
        <f t="shared" si="1"/>
        <v>1224.8399999999999</v>
      </c>
      <c r="D7" s="38">
        <f t="shared" si="1"/>
        <v>1194.8399999999999</v>
      </c>
      <c r="E7" s="38">
        <f t="shared" si="1"/>
        <v>1194.8399999999999</v>
      </c>
      <c r="F7" s="38">
        <f t="shared" si="1"/>
        <v>1179.8399999999999</v>
      </c>
      <c r="G7" s="38">
        <f t="shared" si="1"/>
        <v>1208.8399999999999</v>
      </c>
      <c r="H7" s="38">
        <f t="shared" si="1"/>
        <v>1311.94</v>
      </c>
      <c r="I7" s="38">
        <f t="shared" si="1"/>
        <v>1321.94</v>
      </c>
      <c r="J7" s="38">
        <f t="shared" si="1"/>
        <v>1373.84</v>
      </c>
      <c r="K7" s="38">
        <f t="shared" si="1"/>
        <v>1375.84</v>
      </c>
      <c r="L7" s="38">
        <f t="shared" si="1"/>
        <v>1486.74</v>
      </c>
      <c r="M7" s="38">
        <f t="shared" si="1"/>
        <v>1465.44</v>
      </c>
      <c r="N7" s="38">
        <f>N89</f>
        <v>1478.54</v>
      </c>
      <c r="O7" s="38">
        <f t="shared" si="1"/>
        <v>1478.14</v>
      </c>
      <c r="P7" s="38">
        <f t="shared" si="1"/>
        <v>1425.94</v>
      </c>
      <c r="Q7" s="38">
        <f t="shared" si="1"/>
        <v>1413.1399999999999</v>
      </c>
      <c r="R7" s="38">
        <f t="shared" si="1"/>
        <v>1444.04</v>
      </c>
      <c r="S7" s="38">
        <f t="shared" si="1"/>
        <v>1450.84</v>
      </c>
      <c r="T7" s="38">
        <f t="shared" si="1"/>
        <v>1455.84</v>
      </c>
      <c r="U7" s="38">
        <f t="shared" si="1"/>
        <v>1469.44</v>
      </c>
      <c r="V7" s="38">
        <f t="shared" si="1"/>
        <v>1426.94</v>
      </c>
      <c r="W7" s="38">
        <f t="shared" si="1"/>
        <v>1422.24</v>
      </c>
      <c r="X7" s="38">
        <f t="shared" si="1"/>
        <v>1371.34</v>
      </c>
      <c r="Y7" s="38">
        <f t="shared" si="1"/>
        <v>1541.34</v>
      </c>
      <c r="Z7" s="38">
        <f t="shared" si="1"/>
        <v>1689.1399999999999</v>
      </c>
      <c r="AA7" s="38">
        <f t="shared" si="1"/>
        <v>1713.1399999999999</v>
      </c>
      <c r="AB7" s="38">
        <f t="shared" si="1"/>
        <v>1673.54</v>
      </c>
      <c r="AC7" s="38">
        <f t="shared" si="1"/>
        <v>1640.44</v>
      </c>
      <c r="AD7" s="38">
        <f t="shared" si="1"/>
        <v>1636.44</v>
      </c>
      <c r="AE7" s="38">
        <f t="shared" si="1"/>
        <v>1418.24</v>
      </c>
      <c r="AF7" s="38">
        <f t="shared" si="1"/>
        <v>1393.04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40</v>
      </c>
      <c r="C11" s="50">
        <v>40</v>
      </c>
      <c r="D11" s="50">
        <v>40</v>
      </c>
      <c r="E11" s="50">
        <v>40</v>
      </c>
      <c r="F11" s="50">
        <v>40</v>
      </c>
      <c r="G11" s="50">
        <v>40</v>
      </c>
      <c r="H11" s="50">
        <v>40</v>
      </c>
      <c r="I11" s="50">
        <v>40</v>
      </c>
      <c r="J11" s="50">
        <v>40</v>
      </c>
      <c r="K11" s="50">
        <v>40</v>
      </c>
      <c r="L11" s="50">
        <v>40</v>
      </c>
      <c r="M11" s="50">
        <v>40</v>
      </c>
      <c r="N11" s="50">
        <v>36</v>
      </c>
      <c r="O11" s="50">
        <v>35</v>
      </c>
      <c r="P11" s="50">
        <v>35</v>
      </c>
      <c r="Q11" s="50">
        <v>35</v>
      </c>
      <c r="R11" s="50">
        <v>35</v>
      </c>
      <c r="S11" s="50">
        <v>35</v>
      </c>
      <c r="T11" s="50">
        <v>35</v>
      </c>
      <c r="U11" s="50">
        <v>35</v>
      </c>
      <c r="V11" s="50">
        <v>35</v>
      </c>
      <c r="W11" s="50">
        <v>35</v>
      </c>
      <c r="X11" s="50">
        <v>35</v>
      </c>
      <c r="Y11" s="50">
        <v>35</v>
      </c>
      <c r="Z11" s="50">
        <v>35</v>
      </c>
      <c r="AA11" s="50">
        <v>35</v>
      </c>
      <c r="AB11" s="50">
        <v>35</v>
      </c>
      <c r="AC11" s="50">
        <v>35</v>
      </c>
      <c r="AD11" s="50">
        <v>35</v>
      </c>
      <c r="AE11" s="50">
        <v>35</v>
      </c>
      <c r="AF11" s="50">
        <v>35</v>
      </c>
      <c r="AG11" s="51">
        <v>86</v>
      </c>
      <c r="AH11" s="52">
        <f t="shared" ref="AH11:AH74" si="2">MAX(B11:AF11)</f>
        <v>40</v>
      </c>
      <c r="AI11" s="53">
        <f t="shared" ref="AI11:AI74" si="3">MIN(B11:AF11)</f>
        <v>35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0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1">
        <v>52.4</v>
      </c>
      <c r="AH12" s="52">
        <f t="shared" si="2"/>
        <v>0</v>
      </c>
      <c r="AI12" s="53">
        <f t="shared" si="3"/>
        <v>0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50.4</v>
      </c>
      <c r="C13" s="50">
        <v>44</v>
      </c>
      <c r="D13" s="50">
        <v>44</v>
      </c>
      <c r="E13" s="50">
        <v>44</v>
      </c>
      <c r="F13" s="50">
        <v>44</v>
      </c>
      <c r="G13" s="50">
        <v>44</v>
      </c>
      <c r="H13" s="50">
        <v>44</v>
      </c>
      <c r="I13" s="50">
        <v>44</v>
      </c>
      <c r="J13" s="50">
        <v>44</v>
      </c>
      <c r="K13" s="50">
        <v>44</v>
      </c>
      <c r="L13" s="50">
        <v>44</v>
      </c>
      <c r="M13" s="50">
        <v>44</v>
      </c>
      <c r="N13" s="50">
        <v>44</v>
      </c>
      <c r="O13" s="50">
        <v>44</v>
      </c>
      <c r="P13" s="50">
        <v>44</v>
      </c>
      <c r="Q13" s="50">
        <v>44</v>
      </c>
      <c r="R13" s="50">
        <v>44</v>
      </c>
      <c r="S13" s="50">
        <v>44</v>
      </c>
      <c r="T13" s="50">
        <v>44</v>
      </c>
      <c r="U13" s="50">
        <v>44</v>
      </c>
      <c r="V13" s="50">
        <v>44</v>
      </c>
      <c r="W13" s="50">
        <v>44</v>
      </c>
      <c r="X13" s="50">
        <v>44</v>
      </c>
      <c r="Y13" s="50">
        <v>44</v>
      </c>
      <c r="Z13" s="50">
        <v>44</v>
      </c>
      <c r="AA13" s="50">
        <v>44</v>
      </c>
      <c r="AB13" s="50">
        <v>44</v>
      </c>
      <c r="AC13" s="50">
        <v>44</v>
      </c>
      <c r="AD13" s="50">
        <v>44</v>
      </c>
      <c r="AE13" s="50">
        <v>44</v>
      </c>
      <c r="AF13" s="50">
        <v>44</v>
      </c>
      <c r="AG13" s="55">
        <v>50</v>
      </c>
      <c r="AH13" s="52">
        <f t="shared" si="2"/>
        <v>50.4</v>
      </c>
      <c r="AI13" s="53">
        <f t="shared" si="3"/>
        <v>44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20</v>
      </c>
      <c r="C14" s="50">
        <v>20</v>
      </c>
      <c r="D14" s="50">
        <v>20</v>
      </c>
      <c r="E14" s="50">
        <v>20</v>
      </c>
      <c r="F14" s="50">
        <v>20</v>
      </c>
      <c r="G14" s="50">
        <v>20</v>
      </c>
      <c r="H14" s="50">
        <v>20</v>
      </c>
      <c r="I14" s="50">
        <v>20</v>
      </c>
      <c r="J14" s="50">
        <v>20</v>
      </c>
      <c r="K14" s="50">
        <v>20</v>
      </c>
      <c r="L14" s="50">
        <v>20</v>
      </c>
      <c r="M14" s="50">
        <v>20</v>
      </c>
      <c r="N14" s="50">
        <v>20</v>
      </c>
      <c r="O14" s="50">
        <v>20</v>
      </c>
      <c r="P14" s="50">
        <v>20</v>
      </c>
      <c r="Q14" s="50">
        <v>20</v>
      </c>
      <c r="R14" s="50">
        <v>20</v>
      </c>
      <c r="S14" s="50">
        <v>20</v>
      </c>
      <c r="T14" s="50">
        <v>20</v>
      </c>
      <c r="U14" s="50">
        <v>20</v>
      </c>
      <c r="V14" s="50">
        <v>20</v>
      </c>
      <c r="W14" s="50">
        <v>20</v>
      </c>
      <c r="X14" s="50">
        <v>20</v>
      </c>
      <c r="Y14" s="50">
        <v>20</v>
      </c>
      <c r="Z14" s="50">
        <v>20</v>
      </c>
      <c r="AA14" s="50">
        <v>20</v>
      </c>
      <c r="AB14" s="50">
        <v>20</v>
      </c>
      <c r="AC14" s="50">
        <v>20</v>
      </c>
      <c r="AD14" s="50">
        <v>20</v>
      </c>
      <c r="AE14" s="50">
        <v>20</v>
      </c>
      <c r="AF14" s="50">
        <v>20</v>
      </c>
      <c r="AG14" s="55">
        <v>45</v>
      </c>
      <c r="AH14" s="52">
        <f t="shared" si="2"/>
        <v>20</v>
      </c>
      <c r="AI14" s="53">
        <f t="shared" si="3"/>
        <v>20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17</v>
      </c>
      <c r="C15" s="50">
        <v>17</v>
      </c>
      <c r="D15" s="50">
        <v>17</v>
      </c>
      <c r="E15" s="50">
        <v>17</v>
      </c>
      <c r="F15" s="50">
        <v>17</v>
      </c>
      <c r="G15" s="50">
        <v>17</v>
      </c>
      <c r="H15" s="50">
        <v>17</v>
      </c>
      <c r="I15" s="50">
        <v>17</v>
      </c>
      <c r="J15" s="50">
        <v>17</v>
      </c>
      <c r="K15" s="50">
        <v>17</v>
      </c>
      <c r="L15" s="50">
        <v>17</v>
      </c>
      <c r="M15" s="50">
        <v>17</v>
      </c>
      <c r="N15" s="50">
        <v>17</v>
      </c>
      <c r="O15" s="50">
        <v>17</v>
      </c>
      <c r="P15" s="50">
        <v>17</v>
      </c>
      <c r="Q15" s="50">
        <v>17</v>
      </c>
      <c r="R15" s="50">
        <v>17</v>
      </c>
      <c r="S15" s="50">
        <v>17</v>
      </c>
      <c r="T15" s="50">
        <v>17</v>
      </c>
      <c r="U15" s="50">
        <v>17</v>
      </c>
      <c r="V15" s="50">
        <v>17</v>
      </c>
      <c r="W15" s="50">
        <v>17</v>
      </c>
      <c r="X15" s="50">
        <v>17</v>
      </c>
      <c r="Y15" s="50">
        <v>17</v>
      </c>
      <c r="Z15" s="50">
        <v>17</v>
      </c>
      <c r="AA15" s="50">
        <v>17</v>
      </c>
      <c r="AB15" s="50">
        <v>17</v>
      </c>
      <c r="AC15" s="50">
        <v>17</v>
      </c>
      <c r="AD15" s="50">
        <v>17</v>
      </c>
      <c r="AE15" s="50">
        <v>17</v>
      </c>
      <c r="AF15" s="50">
        <v>17</v>
      </c>
      <c r="AG15" s="55">
        <v>42</v>
      </c>
      <c r="AH15" s="52">
        <f t="shared" si="2"/>
        <v>17</v>
      </c>
      <c r="AI15" s="53">
        <f t="shared" si="3"/>
        <v>17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21</v>
      </c>
      <c r="C16" s="50">
        <v>21</v>
      </c>
      <c r="D16" s="50">
        <v>21</v>
      </c>
      <c r="E16" s="50">
        <v>21</v>
      </c>
      <c r="F16" s="50">
        <v>21</v>
      </c>
      <c r="G16" s="50">
        <v>21</v>
      </c>
      <c r="H16" s="50">
        <v>21</v>
      </c>
      <c r="I16" s="50">
        <v>21</v>
      </c>
      <c r="J16" s="50">
        <v>21</v>
      </c>
      <c r="K16" s="50">
        <v>21</v>
      </c>
      <c r="L16" s="50">
        <v>21</v>
      </c>
      <c r="M16" s="50">
        <v>21</v>
      </c>
      <c r="N16" s="50">
        <v>21</v>
      </c>
      <c r="O16" s="50">
        <v>21</v>
      </c>
      <c r="P16" s="50">
        <v>21</v>
      </c>
      <c r="Q16" s="50">
        <v>21</v>
      </c>
      <c r="R16" s="50">
        <v>21</v>
      </c>
      <c r="S16" s="50">
        <v>21</v>
      </c>
      <c r="T16" s="50">
        <v>21</v>
      </c>
      <c r="U16" s="50">
        <v>21</v>
      </c>
      <c r="V16" s="50">
        <v>21</v>
      </c>
      <c r="W16" s="50">
        <v>21</v>
      </c>
      <c r="X16" s="50">
        <v>21</v>
      </c>
      <c r="Y16" s="50">
        <v>21</v>
      </c>
      <c r="Z16" s="50">
        <v>21</v>
      </c>
      <c r="AA16" s="50">
        <v>21</v>
      </c>
      <c r="AB16" s="50">
        <v>21</v>
      </c>
      <c r="AC16" s="50">
        <v>21</v>
      </c>
      <c r="AD16" s="50">
        <v>21</v>
      </c>
      <c r="AE16" s="50">
        <v>21</v>
      </c>
      <c r="AF16" s="50">
        <v>21</v>
      </c>
      <c r="AG16" s="55">
        <v>36</v>
      </c>
      <c r="AH16" s="52">
        <f t="shared" si="2"/>
        <v>21</v>
      </c>
      <c r="AI16" s="53">
        <f t="shared" si="3"/>
        <v>21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12.5</v>
      </c>
      <c r="C17" s="50">
        <v>12.5</v>
      </c>
      <c r="D17" s="50">
        <v>12.5</v>
      </c>
      <c r="E17" s="50">
        <v>12.5</v>
      </c>
      <c r="F17" s="50">
        <v>12.5</v>
      </c>
      <c r="G17" s="50">
        <v>12.5</v>
      </c>
      <c r="H17" s="50">
        <v>12.5</v>
      </c>
      <c r="I17" s="50">
        <v>12.5</v>
      </c>
      <c r="J17" s="50">
        <v>12.5</v>
      </c>
      <c r="K17" s="50">
        <v>12.5</v>
      </c>
      <c r="L17" s="50">
        <v>12.5</v>
      </c>
      <c r="M17" s="50">
        <v>12.5</v>
      </c>
      <c r="N17" s="50">
        <v>12.5</v>
      </c>
      <c r="O17" s="50">
        <v>12.5</v>
      </c>
      <c r="P17" s="50">
        <v>12.5</v>
      </c>
      <c r="Q17" s="50">
        <v>12.5</v>
      </c>
      <c r="R17" s="50">
        <v>12.5</v>
      </c>
      <c r="S17" s="50">
        <v>12.5</v>
      </c>
      <c r="T17" s="50">
        <v>12.5</v>
      </c>
      <c r="U17" s="50">
        <v>12.5</v>
      </c>
      <c r="V17" s="50">
        <v>12.5</v>
      </c>
      <c r="W17" s="50">
        <v>12.5</v>
      </c>
      <c r="X17" s="50">
        <v>12.5</v>
      </c>
      <c r="Y17" s="50">
        <v>12.5</v>
      </c>
      <c r="Z17" s="50">
        <v>12.5</v>
      </c>
      <c r="AA17" s="50">
        <v>12.5</v>
      </c>
      <c r="AB17" s="50">
        <v>12.5</v>
      </c>
      <c r="AC17" s="50">
        <v>12.5</v>
      </c>
      <c r="AD17" s="50">
        <v>12.5</v>
      </c>
      <c r="AE17" s="50">
        <v>12.5</v>
      </c>
      <c r="AF17" s="50">
        <v>12.5</v>
      </c>
      <c r="AG17" s="55">
        <v>36</v>
      </c>
      <c r="AH17" s="52">
        <f t="shared" si="2"/>
        <v>12.5</v>
      </c>
      <c r="AI17" s="53">
        <f t="shared" si="3"/>
        <v>12.5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17.7</v>
      </c>
      <c r="C18" s="50">
        <v>17.7</v>
      </c>
      <c r="D18" s="50">
        <v>17.7</v>
      </c>
      <c r="E18" s="50">
        <v>17.7</v>
      </c>
      <c r="F18" s="50">
        <v>17.7</v>
      </c>
      <c r="G18" s="50">
        <v>17.7</v>
      </c>
      <c r="H18" s="50">
        <v>17.7</v>
      </c>
      <c r="I18" s="50">
        <v>17.7</v>
      </c>
      <c r="J18" s="50">
        <v>17.7</v>
      </c>
      <c r="K18" s="50">
        <v>17.7</v>
      </c>
      <c r="L18" s="50">
        <v>17.7</v>
      </c>
      <c r="M18" s="50">
        <v>17.7</v>
      </c>
      <c r="N18" s="50">
        <v>17.7</v>
      </c>
      <c r="O18" s="50">
        <v>17.7</v>
      </c>
      <c r="P18" s="50">
        <v>17.7</v>
      </c>
      <c r="Q18" s="50">
        <v>17.7</v>
      </c>
      <c r="R18" s="50">
        <v>17.7</v>
      </c>
      <c r="S18" s="50">
        <v>17.7</v>
      </c>
      <c r="T18" s="50">
        <v>17.7</v>
      </c>
      <c r="U18" s="50">
        <v>17.7</v>
      </c>
      <c r="V18" s="50">
        <v>17.7</v>
      </c>
      <c r="W18" s="50">
        <v>17.7</v>
      </c>
      <c r="X18" s="50">
        <v>17.7</v>
      </c>
      <c r="Y18" s="50">
        <v>17.7</v>
      </c>
      <c r="Z18" s="50">
        <v>17.7</v>
      </c>
      <c r="AA18" s="50">
        <v>17.7</v>
      </c>
      <c r="AB18" s="50">
        <v>17.7</v>
      </c>
      <c r="AC18" s="50">
        <v>17.7</v>
      </c>
      <c r="AD18" s="50">
        <v>17.7</v>
      </c>
      <c r="AE18" s="50">
        <v>17.7</v>
      </c>
      <c r="AF18" s="50">
        <v>17.7</v>
      </c>
      <c r="AG18" s="56">
        <v>30</v>
      </c>
      <c r="AH18" s="52">
        <f t="shared" si="2"/>
        <v>17.7</v>
      </c>
      <c r="AI18" s="53">
        <f t="shared" si="3"/>
        <v>17.7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8.4</v>
      </c>
      <c r="C19" s="50">
        <v>8.4</v>
      </c>
      <c r="D19" s="50">
        <v>8.4</v>
      </c>
      <c r="E19" s="50">
        <v>8.4</v>
      </c>
      <c r="F19" s="50">
        <v>8.4</v>
      </c>
      <c r="G19" s="50">
        <v>8.4</v>
      </c>
      <c r="H19" s="50">
        <v>8.4</v>
      </c>
      <c r="I19" s="50">
        <v>8.4</v>
      </c>
      <c r="J19" s="50">
        <v>8.4</v>
      </c>
      <c r="K19" s="50">
        <v>8.4</v>
      </c>
      <c r="L19" s="50">
        <v>8.4</v>
      </c>
      <c r="M19" s="50">
        <v>8.4</v>
      </c>
      <c r="N19" s="50">
        <v>8.4</v>
      </c>
      <c r="O19" s="50">
        <v>8.4</v>
      </c>
      <c r="P19" s="50">
        <v>8.4</v>
      </c>
      <c r="Q19" s="50">
        <v>8.4</v>
      </c>
      <c r="R19" s="50">
        <v>8.4</v>
      </c>
      <c r="S19" s="50">
        <v>8.4</v>
      </c>
      <c r="T19" s="50">
        <v>8.4</v>
      </c>
      <c r="U19" s="50">
        <v>8.4</v>
      </c>
      <c r="V19" s="50">
        <v>8.4</v>
      </c>
      <c r="W19" s="50">
        <v>8.4</v>
      </c>
      <c r="X19" s="50">
        <v>8.4</v>
      </c>
      <c r="Y19" s="50">
        <v>8.4</v>
      </c>
      <c r="Z19" s="50">
        <v>8.4</v>
      </c>
      <c r="AA19" s="50">
        <v>8.4</v>
      </c>
      <c r="AB19" s="50">
        <v>8.4</v>
      </c>
      <c r="AC19" s="50">
        <v>8.4</v>
      </c>
      <c r="AD19" s="50">
        <v>8.4</v>
      </c>
      <c r="AE19" s="50">
        <v>8.4</v>
      </c>
      <c r="AF19" s="50">
        <v>8.4</v>
      </c>
      <c r="AG19" s="55">
        <v>24.2</v>
      </c>
      <c r="AH19" s="52">
        <f t="shared" si="2"/>
        <v>8.4</v>
      </c>
      <c r="AI19" s="53">
        <f t="shared" si="3"/>
        <v>8.4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9</v>
      </c>
      <c r="C20" s="50">
        <v>9</v>
      </c>
      <c r="D20" s="50">
        <v>9</v>
      </c>
      <c r="E20" s="50">
        <v>9</v>
      </c>
      <c r="F20" s="50">
        <v>9</v>
      </c>
      <c r="G20" s="50">
        <v>9</v>
      </c>
      <c r="H20" s="50">
        <v>9</v>
      </c>
      <c r="I20" s="50">
        <v>9</v>
      </c>
      <c r="J20" s="50">
        <v>9</v>
      </c>
      <c r="K20" s="50">
        <v>9</v>
      </c>
      <c r="L20" s="50">
        <v>9</v>
      </c>
      <c r="M20" s="50">
        <v>9</v>
      </c>
      <c r="N20" s="50">
        <v>9</v>
      </c>
      <c r="O20" s="50">
        <v>9</v>
      </c>
      <c r="P20" s="50">
        <v>9</v>
      </c>
      <c r="Q20" s="50">
        <v>9</v>
      </c>
      <c r="R20" s="50">
        <v>9</v>
      </c>
      <c r="S20" s="50">
        <v>9</v>
      </c>
      <c r="T20" s="50">
        <v>9</v>
      </c>
      <c r="U20" s="50">
        <v>9</v>
      </c>
      <c r="V20" s="50">
        <v>9</v>
      </c>
      <c r="W20" s="50">
        <v>9</v>
      </c>
      <c r="X20" s="50">
        <v>9</v>
      </c>
      <c r="Y20" s="50">
        <v>9</v>
      </c>
      <c r="Z20" s="50">
        <v>9</v>
      </c>
      <c r="AA20" s="50">
        <v>9</v>
      </c>
      <c r="AB20" s="50">
        <v>9</v>
      </c>
      <c r="AC20" s="50">
        <v>9</v>
      </c>
      <c r="AD20" s="50">
        <v>9</v>
      </c>
      <c r="AE20" s="50">
        <v>9</v>
      </c>
      <c r="AF20" s="50">
        <v>9</v>
      </c>
      <c r="AG20" s="55">
        <v>28</v>
      </c>
      <c r="AH20" s="52">
        <f t="shared" si="2"/>
        <v>9</v>
      </c>
      <c r="AI20" s="53">
        <f t="shared" si="3"/>
        <v>9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6.5</v>
      </c>
      <c r="C21" s="50">
        <v>6.5</v>
      </c>
      <c r="D21" s="50">
        <v>6.5</v>
      </c>
      <c r="E21" s="50">
        <v>6.5</v>
      </c>
      <c r="F21" s="50">
        <v>6.5</v>
      </c>
      <c r="G21" s="50">
        <v>6.5</v>
      </c>
      <c r="H21" s="50">
        <v>6.5</v>
      </c>
      <c r="I21" s="50">
        <v>6.5</v>
      </c>
      <c r="J21" s="50">
        <v>6.5</v>
      </c>
      <c r="K21" s="50">
        <v>6.5</v>
      </c>
      <c r="L21" s="50">
        <v>6.5</v>
      </c>
      <c r="M21" s="50">
        <v>6.5</v>
      </c>
      <c r="N21" s="50">
        <v>6.5</v>
      </c>
      <c r="O21" s="50">
        <v>6.5</v>
      </c>
      <c r="P21" s="50">
        <v>6.5</v>
      </c>
      <c r="Q21" s="50">
        <v>6.5</v>
      </c>
      <c r="R21" s="50">
        <v>6.5</v>
      </c>
      <c r="S21" s="50">
        <v>6.5</v>
      </c>
      <c r="T21" s="50">
        <v>6.5</v>
      </c>
      <c r="U21" s="50">
        <v>6.5</v>
      </c>
      <c r="V21" s="50">
        <v>6.5</v>
      </c>
      <c r="W21" s="50">
        <v>6.5</v>
      </c>
      <c r="X21" s="50">
        <v>6.5</v>
      </c>
      <c r="Y21" s="50">
        <v>6.5</v>
      </c>
      <c r="Z21" s="50">
        <v>6.5</v>
      </c>
      <c r="AA21" s="50">
        <v>6.5</v>
      </c>
      <c r="AB21" s="50">
        <v>6.5</v>
      </c>
      <c r="AC21" s="50">
        <v>6.5</v>
      </c>
      <c r="AD21" s="50">
        <v>6.5</v>
      </c>
      <c r="AE21" s="50">
        <v>6.5</v>
      </c>
      <c r="AF21" s="50">
        <v>6.5</v>
      </c>
      <c r="AG21" s="56">
        <v>30</v>
      </c>
      <c r="AH21" s="52">
        <f t="shared" si="2"/>
        <v>6.5</v>
      </c>
      <c r="AI21" s="53">
        <f t="shared" si="3"/>
        <v>6.5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17</v>
      </c>
      <c r="C22" s="50">
        <v>17</v>
      </c>
      <c r="D22" s="50">
        <v>17</v>
      </c>
      <c r="E22" s="50">
        <v>17</v>
      </c>
      <c r="F22" s="50">
        <v>17</v>
      </c>
      <c r="G22" s="50">
        <v>17</v>
      </c>
      <c r="H22" s="50">
        <v>17</v>
      </c>
      <c r="I22" s="50">
        <v>17</v>
      </c>
      <c r="J22" s="50">
        <v>17</v>
      </c>
      <c r="K22" s="50">
        <v>17</v>
      </c>
      <c r="L22" s="50">
        <v>17</v>
      </c>
      <c r="M22" s="50">
        <v>17</v>
      </c>
      <c r="N22" s="50">
        <v>17</v>
      </c>
      <c r="O22" s="50">
        <v>17</v>
      </c>
      <c r="P22" s="50">
        <v>17</v>
      </c>
      <c r="Q22" s="50">
        <v>17</v>
      </c>
      <c r="R22" s="50">
        <v>17</v>
      </c>
      <c r="S22" s="50">
        <v>17</v>
      </c>
      <c r="T22" s="50">
        <v>17</v>
      </c>
      <c r="U22" s="50">
        <v>17</v>
      </c>
      <c r="V22" s="50">
        <v>17</v>
      </c>
      <c r="W22" s="50">
        <v>17</v>
      </c>
      <c r="X22" s="50">
        <v>17</v>
      </c>
      <c r="Y22" s="50">
        <v>17</v>
      </c>
      <c r="Z22" s="50">
        <v>17</v>
      </c>
      <c r="AA22" s="50">
        <v>17</v>
      </c>
      <c r="AB22" s="50">
        <v>17</v>
      </c>
      <c r="AC22" s="50">
        <v>17</v>
      </c>
      <c r="AD22" s="50">
        <v>17</v>
      </c>
      <c r="AE22" s="50">
        <v>17</v>
      </c>
      <c r="AF22" s="50">
        <v>17</v>
      </c>
      <c r="AG22" s="55">
        <v>25</v>
      </c>
      <c r="AH22" s="52">
        <f t="shared" si="2"/>
        <v>17</v>
      </c>
      <c r="AI22" s="53">
        <f t="shared" si="3"/>
        <v>17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10</v>
      </c>
      <c r="C23" s="50">
        <v>10</v>
      </c>
      <c r="D23" s="50">
        <v>10</v>
      </c>
      <c r="E23" s="50">
        <v>10</v>
      </c>
      <c r="F23" s="50">
        <v>10</v>
      </c>
      <c r="G23" s="50">
        <v>10</v>
      </c>
      <c r="H23" s="50">
        <v>10</v>
      </c>
      <c r="I23" s="50">
        <v>10</v>
      </c>
      <c r="J23" s="50">
        <v>10</v>
      </c>
      <c r="K23" s="50">
        <v>10</v>
      </c>
      <c r="L23" s="50">
        <v>10</v>
      </c>
      <c r="M23" s="50">
        <v>10</v>
      </c>
      <c r="N23" s="50">
        <v>10</v>
      </c>
      <c r="O23" s="50">
        <v>10</v>
      </c>
      <c r="P23" s="50">
        <v>10</v>
      </c>
      <c r="Q23" s="50">
        <v>10</v>
      </c>
      <c r="R23" s="50">
        <v>10</v>
      </c>
      <c r="S23" s="50">
        <v>10</v>
      </c>
      <c r="T23" s="50">
        <v>10</v>
      </c>
      <c r="U23" s="50">
        <v>10</v>
      </c>
      <c r="V23" s="50">
        <v>10</v>
      </c>
      <c r="W23" s="50">
        <v>10</v>
      </c>
      <c r="X23" s="50">
        <v>10</v>
      </c>
      <c r="Y23" s="50">
        <v>10</v>
      </c>
      <c r="Z23" s="50">
        <v>10</v>
      </c>
      <c r="AA23" s="50">
        <v>10</v>
      </c>
      <c r="AB23" s="50">
        <v>10</v>
      </c>
      <c r="AC23" s="50">
        <v>10</v>
      </c>
      <c r="AD23" s="50">
        <v>10</v>
      </c>
      <c r="AE23" s="50">
        <v>10</v>
      </c>
      <c r="AF23" s="50">
        <v>10</v>
      </c>
      <c r="AG23" s="55">
        <v>25</v>
      </c>
      <c r="AH23" s="52">
        <f t="shared" si="2"/>
        <v>10</v>
      </c>
      <c r="AI23" s="53">
        <f t="shared" si="3"/>
        <v>10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7.5</v>
      </c>
      <c r="C24" s="50">
        <v>7.5</v>
      </c>
      <c r="D24" s="50">
        <v>7.5</v>
      </c>
      <c r="E24" s="50">
        <v>7.5</v>
      </c>
      <c r="F24" s="50">
        <v>7.5</v>
      </c>
      <c r="G24" s="50">
        <v>7.5</v>
      </c>
      <c r="H24" s="50">
        <v>7.5</v>
      </c>
      <c r="I24" s="50">
        <v>7.5</v>
      </c>
      <c r="J24" s="50">
        <v>7.5</v>
      </c>
      <c r="K24" s="50">
        <v>7.5</v>
      </c>
      <c r="L24" s="50">
        <v>7.5</v>
      </c>
      <c r="M24" s="50">
        <v>7.5</v>
      </c>
      <c r="N24" s="50">
        <v>7.5</v>
      </c>
      <c r="O24" s="50">
        <v>7.5</v>
      </c>
      <c r="P24" s="50">
        <v>7.5</v>
      </c>
      <c r="Q24" s="50">
        <v>7.5</v>
      </c>
      <c r="R24" s="50">
        <v>7.5</v>
      </c>
      <c r="S24" s="50">
        <v>7.5</v>
      </c>
      <c r="T24" s="50">
        <v>7.5</v>
      </c>
      <c r="U24" s="50">
        <v>7.5</v>
      </c>
      <c r="V24" s="50">
        <v>7.5</v>
      </c>
      <c r="W24" s="50">
        <v>7.5</v>
      </c>
      <c r="X24" s="50">
        <v>7.5</v>
      </c>
      <c r="Y24" s="50">
        <v>7.5</v>
      </c>
      <c r="Z24" s="50">
        <v>7.5</v>
      </c>
      <c r="AA24" s="50">
        <v>7.5</v>
      </c>
      <c r="AB24" s="50">
        <v>7.5</v>
      </c>
      <c r="AC24" s="50">
        <v>7.5</v>
      </c>
      <c r="AD24" s="50">
        <v>7.5</v>
      </c>
      <c r="AE24" s="50">
        <v>7.5</v>
      </c>
      <c r="AF24" s="50">
        <v>7.5</v>
      </c>
      <c r="AG24" s="55">
        <v>25</v>
      </c>
      <c r="AH24" s="52">
        <f t="shared" si="2"/>
        <v>7.5</v>
      </c>
      <c r="AI24" s="53">
        <f t="shared" si="3"/>
        <v>7.5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18</v>
      </c>
      <c r="C25" s="50">
        <v>18</v>
      </c>
      <c r="D25" s="50">
        <v>18</v>
      </c>
      <c r="E25" s="50">
        <v>18</v>
      </c>
      <c r="F25" s="50">
        <v>18</v>
      </c>
      <c r="G25" s="50">
        <v>18</v>
      </c>
      <c r="H25" s="50">
        <v>18</v>
      </c>
      <c r="I25" s="50">
        <v>18</v>
      </c>
      <c r="J25" s="50">
        <v>18</v>
      </c>
      <c r="K25" s="50">
        <v>18</v>
      </c>
      <c r="L25" s="50">
        <v>18</v>
      </c>
      <c r="M25" s="50">
        <v>18</v>
      </c>
      <c r="N25" s="50">
        <v>18</v>
      </c>
      <c r="O25" s="50">
        <v>18</v>
      </c>
      <c r="P25" s="50">
        <v>18</v>
      </c>
      <c r="Q25" s="50">
        <v>18</v>
      </c>
      <c r="R25" s="50">
        <v>18</v>
      </c>
      <c r="S25" s="50">
        <v>18</v>
      </c>
      <c r="T25" s="50">
        <v>18</v>
      </c>
      <c r="U25" s="50">
        <v>18</v>
      </c>
      <c r="V25" s="50">
        <v>18</v>
      </c>
      <c r="W25" s="50">
        <v>18</v>
      </c>
      <c r="X25" s="50">
        <v>18</v>
      </c>
      <c r="Y25" s="50">
        <v>18</v>
      </c>
      <c r="Z25" s="50">
        <v>18</v>
      </c>
      <c r="AA25" s="50">
        <v>18</v>
      </c>
      <c r="AB25" s="50">
        <v>18</v>
      </c>
      <c r="AC25" s="50">
        <v>18</v>
      </c>
      <c r="AD25" s="50">
        <v>18</v>
      </c>
      <c r="AE25" s="50">
        <v>18</v>
      </c>
      <c r="AF25" s="50">
        <v>18</v>
      </c>
      <c r="AG25" s="55">
        <v>25</v>
      </c>
      <c r="AH25" s="52">
        <f t="shared" si="2"/>
        <v>18</v>
      </c>
      <c r="AI25" s="53">
        <f t="shared" si="3"/>
        <v>18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5.8</v>
      </c>
      <c r="C26" s="50">
        <v>5.8</v>
      </c>
      <c r="D26" s="50">
        <v>5.8</v>
      </c>
      <c r="E26" s="50">
        <v>5.8</v>
      </c>
      <c r="F26" s="50">
        <v>5.8</v>
      </c>
      <c r="G26" s="50">
        <v>5.8</v>
      </c>
      <c r="H26" s="50">
        <v>5.8</v>
      </c>
      <c r="I26" s="50">
        <v>5.8</v>
      </c>
      <c r="J26" s="50">
        <v>5.8</v>
      </c>
      <c r="K26" s="50">
        <v>5.8</v>
      </c>
      <c r="L26" s="50">
        <v>5.8</v>
      </c>
      <c r="M26" s="50">
        <v>5.8</v>
      </c>
      <c r="N26" s="50">
        <v>5.8</v>
      </c>
      <c r="O26" s="50">
        <v>5.8</v>
      </c>
      <c r="P26" s="50">
        <v>5.8</v>
      </c>
      <c r="Q26" s="50">
        <v>5.8</v>
      </c>
      <c r="R26" s="50">
        <v>5.8</v>
      </c>
      <c r="S26" s="50">
        <v>5.8</v>
      </c>
      <c r="T26" s="50">
        <v>5.8</v>
      </c>
      <c r="U26" s="50">
        <v>5.8</v>
      </c>
      <c r="V26" s="50">
        <v>5.8</v>
      </c>
      <c r="W26" s="50">
        <v>5.8</v>
      </c>
      <c r="X26" s="50">
        <v>5.8</v>
      </c>
      <c r="Y26" s="50">
        <v>5.8</v>
      </c>
      <c r="Z26" s="50">
        <v>5.8</v>
      </c>
      <c r="AA26" s="50">
        <v>5.8</v>
      </c>
      <c r="AB26" s="50">
        <v>5.8</v>
      </c>
      <c r="AC26" s="50">
        <v>5.8</v>
      </c>
      <c r="AD26" s="50">
        <v>5.8</v>
      </c>
      <c r="AE26" s="50">
        <v>5.8</v>
      </c>
      <c r="AF26" s="50">
        <v>5.8</v>
      </c>
      <c r="AG26" s="55">
        <v>23.5</v>
      </c>
      <c r="AH26" s="52">
        <f t="shared" si="2"/>
        <v>5.8</v>
      </c>
      <c r="AI26" s="53">
        <f t="shared" si="3"/>
        <v>5.8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5">
        <v>22</v>
      </c>
      <c r="AH29" s="52">
        <f t="shared" si="2"/>
        <v>0</v>
      </c>
      <c r="AI29" s="53">
        <f t="shared" si="3"/>
        <v>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15</v>
      </c>
      <c r="C30" s="50">
        <v>15</v>
      </c>
      <c r="D30" s="50">
        <v>15</v>
      </c>
      <c r="E30" s="50">
        <v>15</v>
      </c>
      <c r="F30" s="50">
        <v>15</v>
      </c>
      <c r="G30" s="50">
        <v>15</v>
      </c>
      <c r="H30" s="50">
        <v>15</v>
      </c>
      <c r="I30" s="50">
        <v>15</v>
      </c>
      <c r="J30" s="50">
        <v>15</v>
      </c>
      <c r="K30" s="50">
        <v>15</v>
      </c>
      <c r="L30" s="50">
        <v>15</v>
      </c>
      <c r="M30" s="50">
        <v>15</v>
      </c>
      <c r="N30" s="50">
        <v>15</v>
      </c>
      <c r="O30" s="50">
        <v>15</v>
      </c>
      <c r="P30" s="50">
        <v>15</v>
      </c>
      <c r="Q30" s="50">
        <v>15</v>
      </c>
      <c r="R30" s="50">
        <v>15</v>
      </c>
      <c r="S30" s="50">
        <v>15</v>
      </c>
      <c r="T30" s="50">
        <v>15</v>
      </c>
      <c r="U30" s="50">
        <v>15</v>
      </c>
      <c r="V30" s="50">
        <v>15</v>
      </c>
      <c r="W30" s="50">
        <v>15</v>
      </c>
      <c r="X30" s="50">
        <v>15</v>
      </c>
      <c r="Y30" s="50">
        <v>15</v>
      </c>
      <c r="Z30" s="50">
        <v>15</v>
      </c>
      <c r="AA30" s="50">
        <v>15</v>
      </c>
      <c r="AB30" s="50">
        <v>15</v>
      </c>
      <c r="AC30" s="50">
        <v>15</v>
      </c>
      <c r="AD30" s="50">
        <v>15</v>
      </c>
      <c r="AE30" s="50">
        <v>15</v>
      </c>
      <c r="AF30" s="50">
        <v>15</v>
      </c>
      <c r="AG30" s="55">
        <v>22</v>
      </c>
      <c r="AH30" s="52">
        <f t="shared" si="2"/>
        <v>15</v>
      </c>
      <c r="AI30" s="53">
        <f t="shared" si="3"/>
        <v>15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0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>
        <v>4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8.9</v>
      </c>
      <c r="C33" s="50">
        <v>8.9</v>
      </c>
      <c r="D33" s="50">
        <v>8.9</v>
      </c>
      <c r="E33" s="50">
        <v>8.9</v>
      </c>
      <c r="F33" s="50">
        <v>8.9</v>
      </c>
      <c r="G33" s="50">
        <v>8.9</v>
      </c>
      <c r="H33" s="50">
        <v>8.9</v>
      </c>
      <c r="I33" s="50">
        <v>8.9</v>
      </c>
      <c r="J33" s="50">
        <v>8.9</v>
      </c>
      <c r="K33" s="50">
        <v>8.9</v>
      </c>
      <c r="L33" s="50">
        <v>8.9</v>
      </c>
      <c r="M33" s="50">
        <v>8.9</v>
      </c>
      <c r="N33" s="50">
        <v>8.9</v>
      </c>
      <c r="O33" s="50">
        <v>8.9</v>
      </c>
      <c r="P33" s="50">
        <v>8.9</v>
      </c>
      <c r="Q33" s="50">
        <v>8.9</v>
      </c>
      <c r="R33" s="50">
        <v>8.9</v>
      </c>
      <c r="S33" s="50">
        <v>8.9</v>
      </c>
      <c r="T33" s="50">
        <v>8.9</v>
      </c>
      <c r="U33" s="50">
        <v>8.9</v>
      </c>
      <c r="V33" s="50">
        <v>8.9</v>
      </c>
      <c r="W33" s="50">
        <v>8.9</v>
      </c>
      <c r="X33" s="50">
        <v>8.9</v>
      </c>
      <c r="Y33" s="50">
        <v>8.9</v>
      </c>
      <c r="Z33" s="50">
        <v>8.9</v>
      </c>
      <c r="AA33" s="50">
        <v>8.9</v>
      </c>
      <c r="AB33" s="50">
        <v>8.9</v>
      </c>
      <c r="AC33" s="50">
        <v>8.9</v>
      </c>
      <c r="AD33" s="50">
        <v>8.9</v>
      </c>
      <c r="AE33" s="50">
        <v>8.9</v>
      </c>
      <c r="AF33" s="50">
        <v>8.9</v>
      </c>
      <c r="AG33" s="55">
        <v>14.9</v>
      </c>
      <c r="AH33" s="52">
        <f t="shared" si="2"/>
        <v>8.9</v>
      </c>
      <c r="AI33" s="53">
        <f t="shared" si="3"/>
        <v>8.9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</v>
      </c>
      <c r="C38" s="50">
        <v>5</v>
      </c>
      <c r="D38" s="50">
        <v>5</v>
      </c>
      <c r="E38" s="50">
        <v>5</v>
      </c>
      <c r="F38" s="50">
        <v>5</v>
      </c>
      <c r="G38" s="50">
        <v>5</v>
      </c>
      <c r="H38" s="50">
        <v>5</v>
      </c>
      <c r="I38" s="50">
        <v>5</v>
      </c>
      <c r="J38" s="50">
        <v>5</v>
      </c>
      <c r="K38" s="50">
        <v>5</v>
      </c>
      <c r="L38" s="50">
        <v>5</v>
      </c>
      <c r="M38" s="50">
        <v>5</v>
      </c>
      <c r="N38" s="50">
        <v>5</v>
      </c>
      <c r="O38" s="50">
        <v>5</v>
      </c>
      <c r="P38" s="50">
        <v>5</v>
      </c>
      <c r="Q38" s="50">
        <v>5</v>
      </c>
      <c r="R38" s="50">
        <v>5</v>
      </c>
      <c r="S38" s="50">
        <v>5</v>
      </c>
      <c r="T38" s="50">
        <v>5</v>
      </c>
      <c r="U38" s="50">
        <v>5</v>
      </c>
      <c r="V38" s="50">
        <v>5</v>
      </c>
      <c r="W38" s="50">
        <v>5</v>
      </c>
      <c r="X38" s="50">
        <v>5</v>
      </c>
      <c r="Y38" s="50">
        <v>5</v>
      </c>
      <c r="Z38" s="50">
        <v>5</v>
      </c>
      <c r="AA38" s="50">
        <v>5</v>
      </c>
      <c r="AB38" s="50">
        <v>5</v>
      </c>
      <c r="AC38" s="50">
        <v>5</v>
      </c>
      <c r="AD38" s="50">
        <v>5</v>
      </c>
      <c r="AE38" s="50">
        <v>5</v>
      </c>
      <c r="AF38" s="50">
        <v>5</v>
      </c>
      <c r="AG38" s="55">
        <v>12</v>
      </c>
      <c r="AH38" s="52">
        <f t="shared" si="2"/>
        <v>5</v>
      </c>
      <c r="AI38" s="53">
        <f t="shared" si="3"/>
        <v>5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3.6</v>
      </c>
      <c r="C42" s="50">
        <v>3.6</v>
      </c>
      <c r="D42" s="50">
        <v>3.6</v>
      </c>
      <c r="E42" s="50">
        <v>3.6</v>
      </c>
      <c r="F42" s="50">
        <v>3.6</v>
      </c>
      <c r="G42" s="50">
        <v>3.6</v>
      </c>
      <c r="H42" s="50">
        <v>3.6</v>
      </c>
      <c r="I42" s="50">
        <v>3.6</v>
      </c>
      <c r="J42" s="50">
        <v>3.6</v>
      </c>
      <c r="K42" s="50">
        <v>3.6</v>
      </c>
      <c r="L42" s="50">
        <v>3.6</v>
      </c>
      <c r="M42" s="50">
        <v>3.6</v>
      </c>
      <c r="N42" s="50">
        <v>3.6</v>
      </c>
      <c r="O42" s="50">
        <v>3.6</v>
      </c>
      <c r="P42" s="50">
        <v>3.6</v>
      </c>
      <c r="Q42" s="50">
        <v>3.6</v>
      </c>
      <c r="R42" s="50">
        <v>3.6</v>
      </c>
      <c r="S42" s="50">
        <v>3.6</v>
      </c>
      <c r="T42" s="50">
        <v>3.6</v>
      </c>
      <c r="U42" s="50">
        <v>3.6</v>
      </c>
      <c r="V42" s="50">
        <v>3.6</v>
      </c>
      <c r="W42" s="50">
        <v>3.6</v>
      </c>
      <c r="X42" s="50">
        <v>3.6</v>
      </c>
      <c r="Y42" s="50">
        <v>3.6</v>
      </c>
      <c r="Z42" s="50">
        <v>3.6</v>
      </c>
      <c r="AA42" s="50">
        <v>3.6</v>
      </c>
      <c r="AB42" s="50">
        <v>3.6</v>
      </c>
      <c r="AC42" s="50">
        <v>3.6</v>
      </c>
      <c r="AD42" s="50">
        <v>3.6</v>
      </c>
      <c r="AE42" s="50">
        <v>3.6</v>
      </c>
      <c r="AF42" s="50">
        <v>3.6</v>
      </c>
      <c r="AG42" s="61">
        <v>11</v>
      </c>
      <c r="AH42" s="52">
        <f t="shared" si="2"/>
        <v>3.6</v>
      </c>
      <c r="AI42" s="53">
        <f t="shared" si="3"/>
        <v>3.6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50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3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150</v>
      </c>
      <c r="C46" s="63">
        <v>150</v>
      </c>
      <c r="D46" s="63">
        <v>150</v>
      </c>
      <c r="E46" s="63">
        <v>150</v>
      </c>
      <c r="F46" s="63">
        <v>150</v>
      </c>
      <c r="G46" s="63">
        <v>150</v>
      </c>
      <c r="H46" s="63">
        <v>150</v>
      </c>
      <c r="I46" s="63">
        <v>150</v>
      </c>
      <c r="J46" s="63">
        <v>150</v>
      </c>
      <c r="K46" s="63">
        <v>150</v>
      </c>
      <c r="L46" s="63">
        <v>150</v>
      </c>
      <c r="M46" s="63">
        <v>150</v>
      </c>
      <c r="N46" s="63">
        <v>150</v>
      </c>
      <c r="O46" s="63">
        <v>150</v>
      </c>
      <c r="P46" s="63">
        <v>150</v>
      </c>
      <c r="Q46" s="63">
        <v>150</v>
      </c>
      <c r="R46" s="63">
        <v>150</v>
      </c>
      <c r="S46" s="63">
        <v>150</v>
      </c>
      <c r="T46" s="63">
        <v>150</v>
      </c>
      <c r="U46" s="63">
        <v>150</v>
      </c>
      <c r="V46" s="63">
        <v>150</v>
      </c>
      <c r="W46" s="63">
        <v>150</v>
      </c>
      <c r="X46" s="63">
        <v>150</v>
      </c>
      <c r="Y46" s="63">
        <v>150</v>
      </c>
      <c r="Z46" s="63">
        <v>150</v>
      </c>
      <c r="AA46" s="63">
        <v>150</v>
      </c>
      <c r="AB46" s="63">
        <v>150</v>
      </c>
      <c r="AC46" s="63">
        <v>150</v>
      </c>
      <c r="AD46" s="63">
        <v>150</v>
      </c>
      <c r="AE46" s="63">
        <v>150</v>
      </c>
      <c r="AF46" s="63">
        <v>150</v>
      </c>
      <c r="AG46" s="61">
        <v>85</v>
      </c>
      <c r="AH46" s="52">
        <f t="shared" si="2"/>
        <v>150</v>
      </c>
      <c r="AI46" s="53">
        <f t="shared" si="3"/>
        <v>150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>SUM(B11:B46)</f>
        <v>487.6</v>
      </c>
      <c r="C48" s="67">
        <f t="shared" ref="C48:AF48" si="4">SUM(C11:C46)</f>
        <v>481.2</v>
      </c>
      <c r="D48" s="67">
        <f t="shared" si="4"/>
        <v>481.2</v>
      </c>
      <c r="E48" s="67">
        <f t="shared" si="4"/>
        <v>481.2</v>
      </c>
      <c r="F48" s="67">
        <f t="shared" si="4"/>
        <v>475.2</v>
      </c>
      <c r="G48" s="67">
        <f t="shared" ref="G48:H48" si="5">SUM(G11:G46)</f>
        <v>475.2</v>
      </c>
      <c r="H48" s="67">
        <f t="shared" si="5"/>
        <v>475.2</v>
      </c>
      <c r="I48" s="67">
        <f t="shared" ref="I48" si="6">SUM(I11:I46)</f>
        <v>475.2</v>
      </c>
      <c r="J48" s="67">
        <f t="shared" si="4"/>
        <v>475.2</v>
      </c>
      <c r="K48" s="67">
        <f t="shared" si="4"/>
        <v>475.2</v>
      </c>
      <c r="L48" s="67">
        <f t="shared" si="4"/>
        <v>475.2</v>
      </c>
      <c r="M48" s="67">
        <f t="shared" si="4"/>
        <v>475.2</v>
      </c>
      <c r="N48" s="67">
        <f t="shared" si="4"/>
        <v>471.2</v>
      </c>
      <c r="O48" s="67">
        <f t="shared" si="4"/>
        <v>470.2</v>
      </c>
      <c r="P48" s="67">
        <f t="shared" si="4"/>
        <v>470.2</v>
      </c>
      <c r="Q48" s="67">
        <f t="shared" si="4"/>
        <v>470.2</v>
      </c>
      <c r="R48" s="67">
        <f t="shared" si="4"/>
        <v>470.2</v>
      </c>
      <c r="S48" s="67">
        <f t="shared" si="4"/>
        <v>470.2</v>
      </c>
      <c r="T48" s="67">
        <f t="shared" ref="T48" si="7">SUM(T11:T46)</f>
        <v>477.2</v>
      </c>
      <c r="U48" s="67">
        <f t="shared" si="4"/>
        <v>477.2</v>
      </c>
      <c r="V48" s="67">
        <f t="shared" si="4"/>
        <v>477.2</v>
      </c>
      <c r="W48" s="67">
        <f t="shared" si="4"/>
        <v>477.2</v>
      </c>
      <c r="X48" s="67">
        <f t="shared" ref="X48" si="8">SUM(X11:X46)</f>
        <v>477.2</v>
      </c>
      <c r="Y48" s="67">
        <f t="shared" si="4"/>
        <v>477.2</v>
      </c>
      <c r="Z48" s="67">
        <f t="shared" si="4"/>
        <v>477.2</v>
      </c>
      <c r="AA48" s="67">
        <f t="shared" ref="AA48" si="9">SUM(AA11:AA46)</f>
        <v>477.2</v>
      </c>
      <c r="AB48" s="67">
        <f t="shared" si="4"/>
        <v>477.2</v>
      </c>
      <c r="AC48" s="67">
        <f t="shared" si="4"/>
        <v>477.2</v>
      </c>
      <c r="AD48" s="67">
        <f t="shared" si="4"/>
        <v>477.2</v>
      </c>
      <c r="AE48" s="67">
        <f t="shared" si="4"/>
        <v>477.2</v>
      </c>
      <c r="AF48" s="67">
        <f t="shared" si="4"/>
        <v>477.2</v>
      </c>
      <c r="AG48" s="68">
        <f t="shared" ref="AG48" si="10">SUM(AG12:AG46)</f>
        <v>875.68</v>
      </c>
      <c r="AH48" s="52">
        <f t="shared" si="2"/>
        <v>487.6</v>
      </c>
      <c r="AI48" s="53">
        <f t="shared" si="3"/>
        <v>470.2</v>
      </c>
      <c r="AK48" s="54"/>
    </row>
    <row r="49" spans="1:41" x14ac:dyDescent="0.25">
      <c r="A49" s="69" t="s">
        <v>57</v>
      </c>
      <c r="B49" s="50">
        <v>80</v>
      </c>
      <c r="C49" s="50">
        <v>80</v>
      </c>
      <c r="D49" s="50">
        <v>80</v>
      </c>
      <c r="E49" s="50">
        <v>80</v>
      </c>
      <c r="F49" s="50">
        <v>50</v>
      </c>
      <c r="G49" s="50">
        <v>76</v>
      </c>
      <c r="H49" s="50">
        <v>120</v>
      </c>
      <c r="I49" s="50">
        <v>120</v>
      </c>
      <c r="J49" s="50">
        <v>120</v>
      </c>
      <c r="K49" s="50">
        <v>80</v>
      </c>
      <c r="L49" s="50">
        <v>120</v>
      </c>
      <c r="M49" s="70">
        <v>100</v>
      </c>
      <c r="N49" s="70">
        <v>120</v>
      </c>
      <c r="O49" s="50">
        <v>100</v>
      </c>
      <c r="P49" s="50">
        <v>110</v>
      </c>
      <c r="Q49" s="50">
        <v>80</v>
      </c>
      <c r="R49" s="50">
        <v>80</v>
      </c>
      <c r="S49" s="50">
        <v>90</v>
      </c>
      <c r="T49" s="50">
        <v>90</v>
      </c>
      <c r="U49" s="50">
        <v>90</v>
      </c>
      <c r="V49" s="50">
        <v>65</v>
      </c>
      <c r="W49" s="50">
        <v>75</v>
      </c>
      <c r="X49" s="50">
        <v>50</v>
      </c>
      <c r="Y49" s="50">
        <v>70</v>
      </c>
      <c r="Z49" s="50">
        <v>200</v>
      </c>
      <c r="AA49" s="50">
        <v>300</v>
      </c>
      <c r="AB49" s="50">
        <v>290</v>
      </c>
      <c r="AC49" s="50">
        <v>240</v>
      </c>
      <c r="AD49" s="50">
        <v>230</v>
      </c>
      <c r="AE49" s="50">
        <v>150</v>
      </c>
      <c r="AF49" s="50">
        <v>170</v>
      </c>
      <c r="AG49" s="56">
        <v>456</v>
      </c>
      <c r="AH49" s="52">
        <f t="shared" si="2"/>
        <v>300</v>
      </c>
      <c r="AI49" s="53">
        <f t="shared" si="3"/>
        <v>50</v>
      </c>
      <c r="AK49" s="54"/>
    </row>
    <row r="50" spans="1:41" x14ac:dyDescent="0.25">
      <c r="A50" s="71" t="s">
        <v>58</v>
      </c>
      <c r="B50" s="72">
        <v>32</v>
      </c>
      <c r="C50" s="72">
        <v>32</v>
      </c>
      <c r="D50" s="72">
        <v>32</v>
      </c>
      <c r="E50" s="72">
        <v>32</v>
      </c>
      <c r="F50" s="72">
        <v>32</v>
      </c>
      <c r="G50" s="72">
        <v>32</v>
      </c>
      <c r="H50" s="72">
        <v>32</v>
      </c>
      <c r="I50" s="72">
        <v>32</v>
      </c>
      <c r="J50" s="72">
        <v>32</v>
      </c>
      <c r="K50" s="72">
        <v>32</v>
      </c>
      <c r="L50" s="72">
        <v>32</v>
      </c>
      <c r="M50" s="72">
        <v>32</v>
      </c>
      <c r="N50" s="72">
        <v>32</v>
      </c>
      <c r="O50" s="72">
        <v>32</v>
      </c>
      <c r="P50" s="72">
        <v>32</v>
      </c>
      <c r="Q50" s="72">
        <v>32</v>
      </c>
      <c r="R50" s="72">
        <v>32</v>
      </c>
      <c r="S50" s="72">
        <v>32</v>
      </c>
      <c r="T50" s="72">
        <v>32</v>
      </c>
      <c r="U50" s="72">
        <v>32</v>
      </c>
      <c r="V50" s="72">
        <v>32</v>
      </c>
      <c r="W50" s="72">
        <v>32</v>
      </c>
      <c r="X50" s="72">
        <v>32</v>
      </c>
      <c r="Y50" s="72">
        <v>32</v>
      </c>
      <c r="Z50" s="72">
        <v>32</v>
      </c>
      <c r="AA50" s="72">
        <v>32</v>
      </c>
      <c r="AB50" s="72">
        <v>32</v>
      </c>
      <c r="AC50" s="72">
        <v>32</v>
      </c>
      <c r="AD50" s="72">
        <v>32</v>
      </c>
      <c r="AE50" s="72">
        <v>32</v>
      </c>
      <c r="AF50" s="72">
        <v>32</v>
      </c>
      <c r="AG50" s="61">
        <v>60</v>
      </c>
      <c r="AH50" s="52">
        <f t="shared" si="2"/>
        <v>32</v>
      </c>
      <c r="AI50" s="53">
        <f t="shared" si="3"/>
        <v>32</v>
      </c>
      <c r="AK50" s="54"/>
    </row>
    <row r="51" spans="1:41" ht="15.75" thickBot="1" x14ac:dyDescent="0.3">
      <c r="A51" s="73" t="s">
        <v>59</v>
      </c>
      <c r="B51" s="74">
        <v>16.100000000000001</v>
      </c>
      <c r="C51" s="74">
        <v>16.100000000000001</v>
      </c>
      <c r="D51" s="74">
        <v>16.100000000000001</v>
      </c>
      <c r="E51" s="74">
        <v>16.100000000000001</v>
      </c>
      <c r="F51" s="74">
        <v>16.100000000000001</v>
      </c>
      <c r="G51" s="74">
        <v>16.100000000000001</v>
      </c>
      <c r="H51" s="74">
        <v>16.100000000000001</v>
      </c>
      <c r="I51" s="74">
        <v>16.100000000000001</v>
      </c>
      <c r="J51" s="74">
        <v>16.100000000000001</v>
      </c>
      <c r="K51" s="74">
        <v>16.100000000000001</v>
      </c>
      <c r="L51" s="74">
        <v>16.100000000000001</v>
      </c>
      <c r="M51" s="74">
        <v>12.2</v>
      </c>
      <c r="N51" s="74">
        <v>12.2</v>
      </c>
      <c r="O51" s="74">
        <v>12.2</v>
      </c>
      <c r="P51" s="74">
        <v>12.2</v>
      </c>
      <c r="Q51" s="74">
        <v>12.2</v>
      </c>
      <c r="R51" s="74">
        <v>12.2</v>
      </c>
      <c r="S51" s="74">
        <v>12.2</v>
      </c>
      <c r="T51" s="74">
        <v>12.2</v>
      </c>
      <c r="U51" s="74">
        <v>12.2</v>
      </c>
      <c r="V51" s="74">
        <v>12.2</v>
      </c>
      <c r="W51" s="74">
        <v>12.2</v>
      </c>
      <c r="X51" s="74">
        <v>12.2</v>
      </c>
      <c r="Y51" s="74">
        <v>12.2</v>
      </c>
      <c r="Z51" s="74">
        <v>12.2</v>
      </c>
      <c r="AA51" s="74">
        <v>12.2</v>
      </c>
      <c r="AB51" s="74">
        <v>15.1</v>
      </c>
      <c r="AC51" s="74">
        <v>15.1</v>
      </c>
      <c r="AD51" s="74">
        <v>15.1</v>
      </c>
      <c r="AE51" s="74">
        <v>15.1</v>
      </c>
      <c r="AF51" s="74">
        <v>15.1</v>
      </c>
      <c r="AG51" s="75">
        <v>22.1</v>
      </c>
      <c r="AH51" s="52">
        <f t="shared" si="2"/>
        <v>16.100000000000001</v>
      </c>
      <c r="AI51" s="53">
        <f t="shared" si="3"/>
        <v>12.2</v>
      </c>
      <c r="AK51" s="54"/>
    </row>
    <row r="52" spans="1:41" ht="15.75" thickBot="1" x14ac:dyDescent="0.3">
      <c r="A52" s="76" t="s">
        <v>60</v>
      </c>
      <c r="B52" s="67">
        <f t="shared" ref="B52:AG52" si="11">SUM(B49:B51)</f>
        <v>128.1</v>
      </c>
      <c r="C52" s="67">
        <f t="shared" si="11"/>
        <v>128.1</v>
      </c>
      <c r="D52" s="67">
        <f t="shared" si="11"/>
        <v>128.1</v>
      </c>
      <c r="E52" s="67">
        <f t="shared" si="11"/>
        <v>128.1</v>
      </c>
      <c r="F52" s="67">
        <f t="shared" si="11"/>
        <v>98.1</v>
      </c>
      <c r="G52" s="67">
        <f t="shared" ref="G52:H52" si="12">SUM(G49:G51)</f>
        <v>124.1</v>
      </c>
      <c r="H52" s="67">
        <f t="shared" si="12"/>
        <v>168.1</v>
      </c>
      <c r="I52" s="67">
        <f t="shared" si="11"/>
        <v>168.1</v>
      </c>
      <c r="J52" s="67">
        <f t="shared" si="11"/>
        <v>168.1</v>
      </c>
      <c r="K52" s="67">
        <f t="shared" si="11"/>
        <v>128.1</v>
      </c>
      <c r="L52" s="67">
        <f t="shared" si="11"/>
        <v>168.1</v>
      </c>
      <c r="M52" s="67">
        <f t="shared" si="11"/>
        <v>144.19999999999999</v>
      </c>
      <c r="N52" s="67">
        <f t="shared" si="11"/>
        <v>164.2</v>
      </c>
      <c r="O52" s="67">
        <f t="shared" si="11"/>
        <v>144.19999999999999</v>
      </c>
      <c r="P52" s="67">
        <f t="shared" si="11"/>
        <v>154.19999999999999</v>
      </c>
      <c r="Q52" s="67">
        <f t="shared" si="11"/>
        <v>124.2</v>
      </c>
      <c r="R52" s="67">
        <f t="shared" si="11"/>
        <v>124.2</v>
      </c>
      <c r="S52" s="67">
        <f t="shared" si="11"/>
        <v>134.19999999999999</v>
      </c>
      <c r="T52" s="67">
        <f t="shared" si="11"/>
        <v>134.19999999999999</v>
      </c>
      <c r="U52" s="67">
        <f t="shared" si="11"/>
        <v>134.19999999999999</v>
      </c>
      <c r="V52" s="67">
        <f t="shared" si="11"/>
        <v>109.2</v>
      </c>
      <c r="W52" s="67">
        <f t="shared" si="11"/>
        <v>119.2</v>
      </c>
      <c r="X52" s="67">
        <f t="shared" ref="X52" si="13">SUM(X49:X51)</f>
        <v>94.2</v>
      </c>
      <c r="Y52" s="67">
        <f t="shared" si="11"/>
        <v>114.2</v>
      </c>
      <c r="Z52" s="67">
        <f t="shared" si="11"/>
        <v>244.2</v>
      </c>
      <c r="AA52" s="67">
        <f t="shared" ref="AA52" si="14">SUM(AA49:AA51)</f>
        <v>344.2</v>
      </c>
      <c r="AB52" s="67">
        <f t="shared" si="11"/>
        <v>337.1</v>
      </c>
      <c r="AC52" s="67">
        <f t="shared" si="11"/>
        <v>287.10000000000002</v>
      </c>
      <c r="AD52" s="67">
        <f t="shared" si="11"/>
        <v>277.10000000000002</v>
      </c>
      <c r="AE52" s="67">
        <f t="shared" si="11"/>
        <v>197.1</v>
      </c>
      <c r="AF52" s="67">
        <f t="shared" si="11"/>
        <v>217.1</v>
      </c>
      <c r="AG52" s="68">
        <f t="shared" si="11"/>
        <v>538.1</v>
      </c>
      <c r="AH52" s="52">
        <f t="shared" si="2"/>
        <v>344.2</v>
      </c>
      <c r="AI52" s="53">
        <f t="shared" si="3"/>
        <v>94.2</v>
      </c>
      <c r="AK52" s="54"/>
    </row>
    <row r="53" spans="1:41" x14ac:dyDescent="0.25">
      <c r="A53" s="49" t="s">
        <v>61</v>
      </c>
      <c r="B53" s="50">
        <v>70</v>
      </c>
      <c r="C53" s="50">
        <v>70</v>
      </c>
      <c r="D53" s="50">
        <v>70</v>
      </c>
      <c r="E53" s="50">
        <v>70</v>
      </c>
      <c r="F53" s="50">
        <v>70</v>
      </c>
      <c r="G53" s="50">
        <v>70</v>
      </c>
      <c r="H53" s="50">
        <v>91</v>
      </c>
      <c r="I53" s="50">
        <v>106</v>
      </c>
      <c r="J53" s="50">
        <v>130</v>
      </c>
      <c r="K53" s="50">
        <v>130</v>
      </c>
      <c r="L53" s="50">
        <v>100</v>
      </c>
      <c r="M53" s="50">
        <v>91.5</v>
      </c>
      <c r="N53" s="50">
        <v>81.2</v>
      </c>
      <c r="O53" s="50">
        <v>81.2</v>
      </c>
      <c r="P53" s="50">
        <v>81.2</v>
      </c>
      <c r="Q53" s="50">
        <v>112</v>
      </c>
      <c r="R53" s="50">
        <v>121.7</v>
      </c>
      <c r="S53" s="50">
        <v>110.8</v>
      </c>
      <c r="T53" s="50">
        <v>87</v>
      </c>
      <c r="U53" s="50">
        <v>97.4</v>
      </c>
      <c r="V53" s="50">
        <v>80</v>
      </c>
      <c r="W53" s="50">
        <v>70</v>
      </c>
      <c r="X53" s="50">
        <v>60</v>
      </c>
      <c r="Y53" s="50">
        <v>60</v>
      </c>
      <c r="Z53" s="50">
        <v>144</v>
      </c>
      <c r="AA53" s="50">
        <v>120</v>
      </c>
      <c r="AB53" s="50">
        <v>120</v>
      </c>
      <c r="AC53" s="50">
        <v>100</v>
      </c>
      <c r="AD53" s="50">
        <v>100</v>
      </c>
      <c r="AE53" s="50">
        <v>93</v>
      </c>
      <c r="AF53" s="50">
        <v>93</v>
      </c>
      <c r="AG53" s="56">
        <v>144</v>
      </c>
      <c r="AH53" s="52">
        <f t="shared" si="2"/>
        <v>144</v>
      </c>
      <c r="AI53" s="53">
        <f t="shared" si="3"/>
        <v>60</v>
      </c>
      <c r="AK53" s="54"/>
    </row>
    <row r="54" spans="1:41" x14ac:dyDescent="0.25">
      <c r="A54" s="60" t="s">
        <v>62</v>
      </c>
      <c r="B54" s="72">
        <v>23</v>
      </c>
      <c r="C54" s="72">
        <v>23</v>
      </c>
      <c r="D54" s="72">
        <v>23</v>
      </c>
      <c r="E54" s="72">
        <v>23</v>
      </c>
      <c r="F54" s="72">
        <v>35</v>
      </c>
      <c r="G54" s="72">
        <v>35</v>
      </c>
      <c r="H54" s="72">
        <v>52</v>
      </c>
      <c r="I54" s="72">
        <v>52</v>
      </c>
      <c r="J54" s="72">
        <v>65</v>
      </c>
      <c r="K54" s="72">
        <v>65</v>
      </c>
      <c r="L54" s="72">
        <v>51.4</v>
      </c>
      <c r="M54" s="72">
        <v>51.4</v>
      </c>
      <c r="N54" s="72">
        <v>49.7</v>
      </c>
      <c r="O54" s="72">
        <v>49.7</v>
      </c>
      <c r="P54" s="72">
        <v>49.7</v>
      </c>
      <c r="Q54" s="72">
        <v>49.7</v>
      </c>
      <c r="R54" s="72">
        <v>47.7</v>
      </c>
      <c r="S54" s="50">
        <v>48.9</v>
      </c>
      <c r="T54" s="50">
        <v>59</v>
      </c>
      <c r="U54" s="50">
        <v>70.2</v>
      </c>
      <c r="V54" s="50">
        <v>46</v>
      </c>
      <c r="W54" s="50">
        <v>46</v>
      </c>
      <c r="X54" s="50">
        <v>35</v>
      </c>
      <c r="Y54" s="50">
        <v>35</v>
      </c>
      <c r="Z54" s="50">
        <v>70</v>
      </c>
      <c r="AA54" s="50">
        <v>70</v>
      </c>
      <c r="AB54" s="72">
        <v>56</v>
      </c>
      <c r="AC54" s="72">
        <v>56</v>
      </c>
      <c r="AD54" s="72">
        <v>56</v>
      </c>
      <c r="AE54" s="72">
        <v>46.3</v>
      </c>
      <c r="AF54" s="72">
        <v>46.3</v>
      </c>
      <c r="AG54" s="61">
        <v>70</v>
      </c>
      <c r="AH54" s="52">
        <f t="shared" si="2"/>
        <v>70.2</v>
      </c>
      <c r="AI54" s="53">
        <f t="shared" si="3"/>
        <v>23</v>
      </c>
      <c r="AK54" s="54"/>
    </row>
    <row r="55" spans="1:41" x14ac:dyDescent="0.25">
      <c r="A55" s="60" t="s">
        <v>63</v>
      </c>
      <c r="B55" s="72">
        <v>36</v>
      </c>
      <c r="C55" s="72">
        <v>63</v>
      </c>
      <c r="D55" s="72">
        <v>67</v>
      </c>
      <c r="E55" s="72">
        <v>67</v>
      </c>
      <c r="F55" s="72">
        <v>60</v>
      </c>
      <c r="G55" s="72">
        <v>60</v>
      </c>
      <c r="H55" s="72">
        <v>61.1</v>
      </c>
      <c r="I55" s="72">
        <v>61.1</v>
      </c>
      <c r="J55" s="72">
        <v>69</v>
      </c>
      <c r="K55" s="72">
        <v>69</v>
      </c>
      <c r="L55" s="72">
        <v>50</v>
      </c>
      <c r="M55" s="72">
        <v>45.5</v>
      </c>
      <c r="N55" s="72">
        <v>35.5</v>
      </c>
      <c r="O55" s="72">
        <v>35.5</v>
      </c>
      <c r="P55" s="72">
        <v>35.5</v>
      </c>
      <c r="Q55" s="72">
        <v>33.200000000000003</v>
      </c>
      <c r="R55" s="72">
        <v>45.7</v>
      </c>
      <c r="S55" s="72">
        <v>45.4</v>
      </c>
      <c r="T55" s="72">
        <v>45.3</v>
      </c>
      <c r="U55" s="50">
        <v>59.9</v>
      </c>
      <c r="V55" s="50">
        <v>59.9</v>
      </c>
      <c r="W55" s="50">
        <v>59.9</v>
      </c>
      <c r="X55" s="50">
        <v>46</v>
      </c>
      <c r="Y55" s="50">
        <v>46</v>
      </c>
      <c r="Z55" s="50">
        <v>49</v>
      </c>
      <c r="AA55" s="50">
        <v>49</v>
      </c>
      <c r="AB55" s="72">
        <v>50</v>
      </c>
      <c r="AC55" s="72">
        <v>50</v>
      </c>
      <c r="AD55" s="72">
        <v>50</v>
      </c>
      <c r="AE55" s="72">
        <v>49.5</v>
      </c>
      <c r="AF55" s="72">
        <v>49.5</v>
      </c>
      <c r="AG55" s="61">
        <v>69</v>
      </c>
      <c r="AH55" s="52">
        <f t="shared" si="2"/>
        <v>69</v>
      </c>
      <c r="AI55" s="53">
        <f t="shared" si="3"/>
        <v>33.200000000000003</v>
      </c>
      <c r="AK55" s="54"/>
    </row>
    <row r="56" spans="1:41" x14ac:dyDescent="0.25">
      <c r="A56" s="60" t="s">
        <v>64</v>
      </c>
      <c r="B56" s="72">
        <v>52</v>
      </c>
      <c r="C56" s="72">
        <v>52</v>
      </c>
      <c r="D56" s="72">
        <v>52</v>
      </c>
      <c r="E56" s="72">
        <v>52</v>
      </c>
      <c r="F56" s="72">
        <v>52</v>
      </c>
      <c r="G56" s="72">
        <v>52</v>
      </c>
      <c r="H56" s="72">
        <v>52</v>
      </c>
      <c r="I56" s="72">
        <v>52</v>
      </c>
      <c r="J56" s="72">
        <v>49</v>
      </c>
      <c r="K56" s="72">
        <v>49</v>
      </c>
      <c r="L56" s="63">
        <v>50</v>
      </c>
      <c r="M56" s="63">
        <v>47.1</v>
      </c>
      <c r="N56" s="63">
        <v>47.1</v>
      </c>
      <c r="O56" s="63">
        <v>47.1</v>
      </c>
      <c r="P56" s="63">
        <v>47.1</v>
      </c>
      <c r="Q56" s="63">
        <v>43.3</v>
      </c>
      <c r="R56" s="63">
        <v>43.3</v>
      </c>
      <c r="S56" s="63">
        <v>43.3</v>
      </c>
      <c r="T56" s="63">
        <v>43.3</v>
      </c>
      <c r="U56" s="50">
        <v>42.1</v>
      </c>
      <c r="V56" s="50">
        <v>42.1</v>
      </c>
      <c r="W56" s="50">
        <v>42.1</v>
      </c>
      <c r="X56" s="50">
        <v>42.1</v>
      </c>
      <c r="Y56" s="50">
        <v>42.1</v>
      </c>
      <c r="Z56" s="50">
        <v>40.9</v>
      </c>
      <c r="AA56" s="50">
        <v>40.9</v>
      </c>
      <c r="AB56" s="72">
        <v>41.8</v>
      </c>
      <c r="AC56" s="72">
        <v>41.8</v>
      </c>
      <c r="AD56" s="72">
        <v>41.8</v>
      </c>
      <c r="AE56" s="72">
        <v>45.3</v>
      </c>
      <c r="AF56" s="72">
        <v>45.3</v>
      </c>
      <c r="AG56" s="61">
        <v>60</v>
      </c>
      <c r="AH56" s="52">
        <f t="shared" si="2"/>
        <v>52</v>
      </c>
      <c r="AI56" s="53">
        <f t="shared" si="3"/>
        <v>40.9</v>
      </c>
      <c r="AK56" s="54"/>
    </row>
    <row r="57" spans="1:41" x14ac:dyDescent="0.25">
      <c r="A57" s="60" t="s">
        <v>65</v>
      </c>
      <c r="B57" s="72">
        <v>12</v>
      </c>
      <c r="C57" s="72">
        <v>0</v>
      </c>
      <c r="D57" s="72">
        <v>0</v>
      </c>
      <c r="E57" s="72">
        <v>0</v>
      </c>
      <c r="F57" s="72">
        <v>0</v>
      </c>
      <c r="G57" s="72">
        <v>10</v>
      </c>
      <c r="H57" s="72">
        <v>15</v>
      </c>
      <c r="I57" s="72">
        <v>15</v>
      </c>
      <c r="J57" s="72">
        <v>15</v>
      </c>
      <c r="K57" s="72">
        <v>15</v>
      </c>
      <c r="L57" s="63">
        <v>15</v>
      </c>
      <c r="M57" s="63">
        <v>22</v>
      </c>
      <c r="N57" s="63">
        <v>21.9</v>
      </c>
      <c r="O57" s="63">
        <v>21.9</v>
      </c>
      <c r="P57" s="63">
        <v>21.9</v>
      </c>
      <c r="Q57" s="63">
        <v>21.9</v>
      </c>
      <c r="R57" s="63">
        <v>21.9</v>
      </c>
      <c r="S57" s="63">
        <v>14</v>
      </c>
      <c r="T57" s="63">
        <v>14</v>
      </c>
      <c r="U57" s="50">
        <v>14.9</v>
      </c>
      <c r="V57" s="50">
        <v>14.9</v>
      </c>
      <c r="W57" s="50">
        <v>14.9</v>
      </c>
      <c r="X57" s="50">
        <v>14.9</v>
      </c>
      <c r="Y57" s="50">
        <v>14.9</v>
      </c>
      <c r="Z57" s="50">
        <v>14.9</v>
      </c>
      <c r="AA57" s="50">
        <v>14.9</v>
      </c>
      <c r="AB57" s="72">
        <v>12.6</v>
      </c>
      <c r="AC57" s="72">
        <v>12.6</v>
      </c>
      <c r="AD57" s="72">
        <v>12.6</v>
      </c>
      <c r="AE57" s="72">
        <v>12.6</v>
      </c>
      <c r="AF57" s="72">
        <v>12.6</v>
      </c>
      <c r="AG57" s="61">
        <v>30</v>
      </c>
      <c r="AH57" s="52">
        <f t="shared" si="2"/>
        <v>22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50">
        <v>0</v>
      </c>
      <c r="M58" s="50">
        <v>11.3</v>
      </c>
      <c r="N58" s="50">
        <v>14.5</v>
      </c>
      <c r="O58" s="50">
        <v>18.3</v>
      </c>
      <c r="P58" s="50">
        <v>18.3</v>
      </c>
      <c r="Q58" s="50">
        <v>19.7</v>
      </c>
      <c r="R58" s="50">
        <v>18.399999999999999</v>
      </c>
      <c r="S58" s="50">
        <v>18.399999999999999</v>
      </c>
      <c r="T58" s="50">
        <v>18.399999999999999</v>
      </c>
      <c r="U58" s="50">
        <v>6.9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1">
        <v>25</v>
      </c>
      <c r="AH58" s="52">
        <f t="shared" si="2"/>
        <v>19.7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15</v>
      </c>
      <c r="C59" s="72">
        <v>15</v>
      </c>
      <c r="D59" s="72">
        <v>15</v>
      </c>
      <c r="E59" s="72">
        <v>15</v>
      </c>
      <c r="F59" s="72">
        <v>15</v>
      </c>
      <c r="G59" s="72">
        <v>15</v>
      </c>
      <c r="H59" s="72">
        <v>15</v>
      </c>
      <c r="I59" s="72">
        <v>15</v>
      </c>
      <c r="J59" s="72">
        <v>15</v>
      </c>
      <c r="K59" s="72">
        <v>15</v>
      </c>
      <c r="L59" s="72">
        <v>15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15</v>
      </c>
      <c r="S59" s="72">
        <v>15</v>
      </c>
      <c r="T59" s="72">
        <v>15</v>
      </c>
      <c r="U59" s="72">
        <v>15</v>
      </c>
      <c r="V59" s="72">
        <v>15</v>
      </c>
      <c r="W59" s="72">
        <v>15</v>
      </c>
      <c r="X59" s="72">
        <v>15</v>
      </c>
      <c r="Y59" s="72">
        <v>15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15</v>
      </c>
      <c r="AI59" s="53">
        <f t="shared" si="3"/>
        <v>15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13</v>
      </c>
      <c r="C61" s="72">
        <v>13</v>
      </c>
      <c r="D61" s="72">
        <v>13</v>
      </c>
      <c r="E61" s="72">
        <v>13</v>
      </c>
      <c r="F61" s="72">
        <v>13</v>
      </c>
      <c r="G61" s="72">
        <v>13</v>
      </c>
      <c r="H61" s="72">
        <v>13</v>
      </c>
      <c r="I61" s="72">
        <v>13</v>
      </c>
      <c r="J61" s="72">
        <v>13</v>
      </c>
      <c r="K61" s="72">
        <v>13</v>
      </c>
      <c r="L61" s="72">
        <v>13</v>
      </c>
      <c r="M61" s="72">
        <v>13</v>
      </c>
      <c r="N61" s="72">
        <v>12.3</v>
      </c>
      <c r="O61" s="72">
        <v>12.3</v>
      </c>
      <c r="P61" s="72">
        <v>12.3</v>
      </c>
      <c r="Q61" s="72">
        <v>12.9</v>
      </c>
      <c r="R61" s="72">
        <v>12.9</v>
      </c>
      <c r="S61" s="72">
        <v>12.9</v>
      </c>
      <c r="T61" s="72">
        <v>12.9</v>
      </c>
      <c r="U61" s="72">
        <v>12.9</v>
      </c>
      <c r="V61" s="72">
        <v>12.9</v>
      </c>
      <c r="W61" s="72">
        <v>12.9</v>
      </c>
      <c r="X61" s="72">
        <v>12.9</v>
      </c>
      <c r="Y61" s="72">
        <v>12.9</v>
      </c>
      <c r="Z61" s="72">
        <v>12.9</v>
      </c>
      <c r="AA61" s="72">
        <v>12.9</v>
      </c>
      <c r="AB61" s="72">
        <v>12.9</v>
      </c>
      <c r="AC61" s="72">
        <v>12.9</v>
      </c>
      <c r="AD61" s="72">
        <v>12.9</v>
      </c>
      <c r="AE61" s="72">
        <v>12.9</v>
      </c>
      <c r="AF61" s="72">
        <v>12.9</v>
      </c>
      <c r="AG61" s="61">
        <v>14.1</v>
      </c>
      <c r="AH61" s="52">
        <f t="shared" si="2"/>
        <v>13</v>
      </c>
      <c r="AI61" s="53">
        <f t="shared" si="3"/>
        <v>12.3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6</v>
      </c>
      <c r="C62" s="72">
        <v>6</v>
      </c>
      <c r="D62" s="72">
        <v>6</v>
      </c>
      <c r="E62" s="72">
        <v>6</v>
      </c>
      <c r="F62" s="72">
        <v>6</v>
      </c>
      <c r="G62" s="72">
        <v>6</v>
      </c>
      <c r="H62" s="72">
        <v>6</v>
      </c>
      <c r="I62" s="72">
        <v>6</v>
      </c>
      <c r="J62" s="72">
        <v>6</v>
      </c>
      <c r="K62" s="72">
        <v>6</v>
      </c>
      <c r="L62" s="72">
        <v>6</v>
      </c>
      <c r="M62" s="72">
        <v>6</v>
      </c>
      <c r="N62" s="72">
        <v>6</v>
      </c>
      <c r="O62" s="72">
        <v>6</v>
      </c>
      <c r="P62" s="72">
        <v>6</v>
      </c>
      <c r="Q62" s="72">
        <v>6</v>
      </c>
      <c r="R62" s="72">
        <v>6</v>
      </c>
      <c r="S62" s="72">
        <v>6</v>
      </c>
      <c r="T62" s="72">
        <v>6</v>
      </c>
      <c r="U62" s="72">
        <v>6</v>
      </c>
      <c r="V62" s="72">
        <v>6</v>
      </c>
      <c r="W62" s="72">
        <v>6</v>
      </c>
      <c r="X62" s="72">
        <v>6</v>
      </c>
      <c r="Y62" s="72">
        <v>6</v>
      </c>
      <c r="Z62" s="72">
        <v>6</v>
      </c>
      <c r="AA62" s="72">
        <v>6</v>
      </c>
      <c r="AB62" s="72">
        <v>6</v>
      </c>
      <c r="AC62" s="72">
        <v>6</v>
      </c>
      <c r="AD62" s="72">
        <v>6</v>
      </c>
      <c r="AE62" s="72">
        <v>6</v>
      </c>
      <c r="AF62" s="72">
        <v>6</v>
      </c>
      <c r="AG62" s="61">
        <v>14</v>
      </c>
      <c r="AH62" s="52">
        <f t="shared" si="2"/>
        <v>6</v>
      </c>
      <c r="AI62" s="53">
        <f t="shared" si="3"/>
        <v>6</v>
      </c>
      <c r="AK62" s="54"/>
    </row>
    <row r="63" spans="1:41" x14ac:dyDescent="0.25">
      <c r="A63" s="60" t="s">
        <v>71</v>
      </c>
      <c r="B63" s="72">
        <v>3</v>
      </c>
      <c r="C63" s="72">
        <v>3</v>
      </c>
      <c r="D63" s="72">
        <v>3</v>
      </c>
      <c r="E63" s="72">
        <v>3</v>
      </c>
      <c r="F63" s="72">
        <v>3</v>
      </c>
      <c r="G63" s="72">
        <v>3</v>
      </c>
      <c r="H63" s="72">
        <v>3</v>
      </c>
      <c r="I63" s="72">
        <v>3</v>
      </c>
      <c r="J63" s="72">
        <v>3</v>
      </c>
      <c r="K63" s="72">
        <v>3</v>
      </c>
      <c r="L63" s="72">
        <v>3</v>
      </c>
      <c r="M63" s="72">
        <v>3.5</v>
      </c>
      <c r="N63" s="72">
        <v>3.5</v>
      </c>
      <c r="O63" s="72">
        <v>3.5</v>
      </c>
      <c r="P63" s="72">
        <v>3.5</v>
      </c>
      <c r="Q63" s="72">
        <v>3.5</v>
      </c>
      <c r="R63" s="72">
        <v>3.5</v>
      </c>
      <c r="S63" s="72">
        <v>3.5</v>
      </c>
      <c r="T63" s="72">
        <v>3.5</v>
      </c>
      <c r="U63" s="72">
        <v>3.5</v>
      </c>
      <c r="V63" s="72">
        <v>3.5</v>
      </c>
      <c r="W63" s="72">
        <v>3.5</v>
      </c>
      <c r="X63" s="72">
        <v>3.5</v>
      </c>
      <c r="Y63" s="72">
        <v>3.5</v>
      </c>
      <c r="Z63" s="72">
        <v>3.5</v>
      </c>
      <c r="AA63" s="72">
        <v>3.5</v>
      </c>
      <c r="AB63" s="72">
        <v>3.5</v>
      </c>
      <c r="AC63" s="72">
        <v>3.5</v>
      </c>
      <c r="AD63" s="72">
        <v>3.5</v>
      </c>
      <c r="AE63" s="72">
        <v>3.5</v>
      </c>
      <c r="AF63" s="72">
        <v>3.5</v>
      </c>
      <c r="AG63" s="61">
        <v>10.050000000000001</v>
      </c>
      <c r="AH63" s="52">
        <f t="shared" si="2"/>
        <v>3.5</v>
      </c>
      <c r="AI63" s="53">
        <f t="shared" si="3"/>
        <v>3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:AG66" si="15">SUM(B53:B65)</f>
        <v>235.54</v>
      </c>
      <c r="C66" s="67">
        <f t="shared" si="15"/>
        <v>250.54</v>
      </c>
      <c r="D66" s="67">
        <f t="shared" si="15"/>
        <v>254.54</v>
      </c>
      <c r="E66" s="67">
        <f t="shared" si="15"/>
        <v>254.54</v>
      </c>
      <c r="F66" s="67">
        <f t="shared" si="15"/>
        <v>259.54000000000002</v>
      </c>
      <c r="G66" s="67">
        <f t="shared" ref="G66:H66" si="16">SUM(G53:G65)</f>
        <v>269.54000000000002</v>
      </c>
      <c r="H66" s="67">
        <f t="shared" si="16"/>
        <v>313.64000000000004</v>
      </c>
      <c r="I66" s="67">
        <f t="shared" si="15"/>
        <v>328.64000000000004</v>
      </c>
      <c r="J66" s="67">
        <f t="shared" si="15"/>
        <v>370.54</v>
      </c>
      <c r="K66" s="67">
        <f t="shared" si="15"/>
        <v>370.54</v>
      </c>
      <c r="L66" s="67">
        <f t="shared" si="15"/>
        <v>308.94</v>
      </c>
      <c r="M66" s="67">
        <f t="shared" si="15"/>
        <v>311.84000000000003</v>
      </c>
      <c r="N66" s="67">
        <f t="shared" si="15"/>
        <v>292.24</v>
      </c>
      <c r="O66" s="67">
        <f t="shared" si="15"/>
        <v>296.04000000000008</v>
      </c>
      <c r="P66" s="67">
        <f t="shared" si="15"/>
        <v>296.04000000000008</v>
      </c>
      <c r="Q66" s="67">
        <f t="shared" si="15"/>
        <v>322.73999999999995</v>
      </c>
      <c r="R66" s="67">
        <f t="shared" si="15"/>
        <v>341.64</v>
      </c>
      <c r="S66" s="67">
        <f t="shared" si="15"/>
        <v>323.73999999999995</v>
      </c>
      <c r="T66" s="67">
        <f t="shared" si="15"/>
        <v>309.94</v>
      </c>
      <c r="U66" s="67">
        <f t="shared" si="15"/>
        <v>334.34</v>
      </c>
      <c r="V66" s="67">
        <f t="shared" ref="V66" si="17">SUM(V53:V65)</f>
        <v>285.83999999999997</v>
      </c>
      <c r="W66" s="67">
        <f t="shared" si="15"/>
        <v>275.84000000000003</v>
      </c>
      <c r="X66" s="67">
        <f t="shared" ref="X66" si="18">SUM(X53:X65)</f>
        <v>240.94</v>
      </c>
      <c r="Y66" s="67">
        <f t="shared" si="15"/>
        <v>240.94</v>
      </c>
      <c r="Z66" s="67">
        <f t="shared" si="15"/>
        <v>361.73999999999995</v>
      </c>
      <c r="AA66" s="67">
        <f t="shared" ref="AA66" si="19">SUM(AA53:AA65)</f>
        <v>337.73999999999995</v>
      </c>
      <c r="AB66" s="67">
        <f t="shared" si="15"/>
        <v>323.34000000000003</v>
      </c>
      <c r="AC66" s="67">
        <f t="shared" si="15"/>
        <v>303.34000000000003</v>
      </c>
      <c r="AD66" s="67">
        <f t="shared" si="15"/>
        <v>303.34000000000003</v>
      </c>
      <c r="AE66" s="67">
        <f t="shared" si="15"/>
        <v>289.64000000000004</v>
      </c>
      <c r="AF66" s="67">
        <f t="shared" si="15"/>
        <v>289.64000000000004</v>
      </c>
      <c r="AG66" s="68">
        <f t="shared" si="15"/>
        <v>489.91</v>
      </c>
      <c r="AH66" s="52">
        <f t="shared" si="2"/>
        <v>370.54</v>
      </c>
      <c r="AI66" s="53">
        <f t="shared" si="3"/>
        <v>235.54</v>
      </c>
      <c r="AK66" s="54"/>
    </row>
    <row r="67" spans="1:40" x14ac:dyDescent="0.25">
      <c r="A67" s="49" t="s">
        <v>75</v>
      </c>
      <c r="B67" s="50">
        <v>0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14</v>
      </c>
      <c r="K67" s="50">
        <v>14</v>
      </c>
      <c r="L67" s="50">
        <v>24</v>
      </c>
      <c r="M67" s="50">
        <v>20</v>
      </c>
      <c r="N67" s="50">
        <v>25</v>
      </c>
      <c r="O67" s="50">
        <v>30</v>
      </c>
      <c r="P67" s="50">
        <v>30</v>
      </c>
      <c r="Q67" s="50">
        <v>30</v>
      </c>
      <c r="R67" s="50">
        <v>30</v>
      </c>
      <c r="S67" s="50">
        <v>30</v>
      </c>
      <c r="T67" s="50">
        <v>50</v>
      </c>
      <c r="U67" s="50">
        <v>40</v>
      </c>
      <c r="V67" s="50">
        <v>50</v>
      </c>
      <c r="W67" s="50">
        <v>60</v>
      </c>
      <c r="X67" s="50">
        <v>60</v>
      </c>
      <c r="Y67" s="50">
        <v>60</v>
      </c>
      <c r="Z67" s="50">
        <v>45</v>
      </c>
      <c r="AA67" s="50">
        <v>45</v>
      </c>
      <c r="AB67" s="50">
        <v>34</v>
      </c>
      <c r="AC67" s="50">
        <v>34</v>
      </c>
      <c r="AD67" s="50">
        <v>34</v>
      </c>
      <c r="AE67" s="50">
        <v>30</v>
      </c>
      <c r="AF67" s="50">
        <v>14</v>
      </c>
      <c r="AG67" s="56">
        <v>60</v>
      </c>
      <c r="AH67" s="52">
        <f t="shared" si="2"/>
        <v>60</v>
      </c>
      <c r="AI67" s="53">
        <f t="shared" si="3"/>
        <v>0</v>
      </c>
      <c r="AK67" s="54"/>
    </row>
    <row r="68" spans="1:40" x14ac:dyDescent="0.25">
      <c r="A68" s="60" t="s">
        <v>76</v>
      </c>
      <c r="B68" s="72">
        <v>0</v>
      </c>
      <c r="C68" s="72">
        <v>0</v>
      </c>
      <c r="D68" s="72">
        <v>0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v>6.2</v>
      </c>
      <c r="K68" s="72">
        <v>6.2</v>
      </c>
      <c r="L68" s="72">
        <v>6.2</v>
      </c>
      <c r="M68" s="72">
        <v>13.8</v>
      </c>
      <c r="N68" s="72">
        <v>8.9</v>
      </c>
      <c r="O68" s="72">
        <v>14.3</v>
      </c>
      <c r="P68" s="72">
        <v>14.5</v>
      </c>
      <c r="Q68" s="72">
        <v>14.5</v>
      </c>
      <c r="R68" s="72">
        <v>14.5</v>
      </c>
      <c r="S68" s="72">
        <v>14.4</v>
      </c>
      <c r="T68" s="72">
        <v>23.1</v>
      </c>
      <c r="U68" s="72">
        <v>6.4</v>
      </c>
      <c r="V68" s="72">
        <v>21</v>
      </c>
      <c r="W68" s="72">
        <v>22</v>
      </c>
      <c r="X68" s="72">
        <v>22</v>
      </c>
      <c r="Y68" s="72">
        <v>22</v>
      </c>
      <c r="Z68" s="72">
        <v>24</v>
      </c>
      <c r="AA68" s="72">
        <v>24</v>
      </c>
      <c r="AB68" s="72">
        <v>13.8</v>
      </c>
      <c r="AC68" s="72">
        <v>13.8</v>
      </c>
      <c r="AD68" s="72">
        <v>13.8</v>
      </c>
      <c r="AE68" s="72">
        <v>14.9</v>
      </c>
      <c r="AF68" s="50">
        <v>5.4</v>
      </c>
      <c r="AG68" s="61">
        <v>32</v>
      </c>
      <c r="AH68" s="52">
        <f t="shared" si="2"/>
        <v>24</v>
      </c>
      <c r="AI68" s="53">
        <f t="shared" si="3"/>
        <v>0</v>
      </c>
      <c r="AK68" s="54"/>
    </row>
    <row r="69" spans="1:40" ht="15.75" thickBot="1" x14ac:dyDescent="0.3">
      <c r="A69" s="78" t="s">
        <v>77</v>
      </c>
      <c r="B69" s="74">
        <v>0</v>
      </c>
      <c r="C69" s="74">
        <v>0</v>
      </c>
      <c r="D69" s="74">
        <v>0</v>
      </c>
      <c r="E69" s="74">
        <v>0</v>
      </c>
      <c r="F69" s="74">
        <v>0</v>
      </c>
      <c r="G69" s="74">
        <v>0</v>
      </c>
      <c r="H69" s="74">
        <v>0</v>
      </c>
      <c r="I69" s="74">
        <v>0</v>
      </c>
      <c r="J69" s="74">
        <v>2.2999999999999998</v>
      </c>
      <c r="K69" s="74">
        <v>2.2999999999999998</v>
      </c>
      <c r="L69" s="74">
        <v>2.2999999999999998</v>
      </c>
      <c r="M69" s="74">
        <v>5</v>
      </c>
      <c r="N69" s="74">
        <v>3.3</v>
      </c>
      <c r="O69" s="74">
        <v>5.2</v>
      </c>
      <c r="P69" s="74">
        <v>5.3</v>
      </c>
      <c r="Q69" s="74">
        <v>5.3</v>
      </c>
      <c r="R69" s="74">
        <v>5.3</v>
      </c>
      <c r="S69" s="74">
        <v>5.3</v>
      </c>
      <c r="T69" s="74">
        <v>8.4</v>
      </c>
      <c r="U69" s="74">
        <v>2.2999999999999998</v>
      </c>
      <c r="V69" s="74">
        <v>8.6999999999999993</v>
      </c>
      <c r="W69" s="74">
        <v>9</v>
      </c>
      <c r="X69" s="74">
        <v>9</v>
      </c>
      <c r="Y69" s="74">
        <v>9</v>
      </c>
      <c r="Z69" s="74">
        <v>9</v>
      </c>
      <c r="AA69" s="74">
        <v>9</v>
      </c>
      <c r="AB69" s="74">
        <v>5</v>
      </c>
      <c r="AC69" s="74">
        <v>5</v>
      </c>
      <c r="AD69" s="74">
        <v>5</v>
      </c>
      <c r="AE69" s="74">
        <v>5.4</v>
      </c>
      <c r="AF69" s="50">
        <v>2</v>
      </c>
      <c r="AG69" s="75">
        <v>14</v>
      </c>
      <c r="AH69" s="52">
        <f t="shared" si="2"/>
        <v>9</v>
      </c>
      <c r="AI69" s="53">
        <f t="shared" si="3"/>
        <v>0</v>
      </c>
      <c r="AK69" s="54"/>
    </row>
    <row r="70" spans="1:40" ht="15.75" thickBot="1" x14ac:dyDescent="0.3">
      <c r="A70" s="81" t="s">
        <v>78</v>
      </c>
      <c r="B70" s="67">
        <f>B67+B68+B69</f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32.5</v>
      </c>
      <c r="M70" s="67">
        <f t="shared" ref="M70:AF70" si="20">M67+M68+M69</f>
        <v>38.799999999999997</v>
      </c>
      <c r="N70" s="67">
        <f t="shared" si="20"/>
        <v>37.199999999999996</v>
      </c>
      <c r="O70" s="67">
        <f t="shared" si="20"/>
        <v>49.5</v>
      </c>
      <c r="P70" s="67">
        <f t="shared" si="20"/>
        <v>49.8</v>
      </c>
      <c r="Q70" s="67">
        <f t="shared" si="20"/>
        <v>49.8</v>
      </c>
      <c r="R70" s="67">
        <f t="shared" si="20"/>
        <v>49.8</v>
      </c>
      <c r="S70" s="67">
        <f t="shared" si="20"/>
        <v>49.699999999999996</v>
      </c>
      <c r="T70" s="67">
        <f t="shared" si="20"/>
        <v>81.5</v>
      </c>
      <c r="U70" s="67">
        <f t="shared" si="20"/>
        <v>48.699999999999996</v>
      </c>
      <c r="V70" s="67">
        <f t="shared" ref="V70" si="21">V67+V68+V69</f>
        <v>79.7</v>
      </c>
      <c r="W70" s="67">
        <f t="shared" si="20"/>
        <v>91</v>
      </c>
      <c r="X70" s="67">
        <f t="shared" ref="X70" si="22">X67+X68+X69</f>
        <v>91</v>
      </c>
      <c r="Y70" s="67">
        <f t="shared" si="20"/>
        <v>91</v>
      </c>
      <c r="Z70" s="67">
        <f t="shared" si="20"/>
        <v>78</v>
      </c>
      <c r="AA70" s="67">
        <f t="shared" ref="AA70" si="23">AA67+AA68+AA69</f>
        <v>78</v>
      </c>
      <c r="AB70" s="67">
        <f t="shared" si="20"/>
        <v>52.8</v>
      </c>
      <c r="AC70" s="67">
        <f t="shared" si="20"/>
        <v>52.8</v>
      </c>
      <c r="AD70" s="67">
        <f t="shared" si="20"/>
        <v>52.8</v>
      </c>
      <c r="AE70" s="67">
        <f t="shared" si="20"/>
        <v>50.3</v>
      </c>
      <c r="AF70" s="67">
        <f t="shared" si="20"/>
        <v>21.4</v>
      </c>
      <c r="AG70" s="68">
        <f>SUM(AG67:AG69)</f>
        <v>106</v>
      </c>
      <c r="AH70" s="52">
        <f t="shared" si="2"/>
        <v>91</v>
      </c>
      <c r="AI70" s="53">
        <f t="shared" si="3"/>
        <v>0</v>
      </c>
      <c r="AK70" s="54"/>
    </row>
    <row r="71" spans="1:40" x14ac:dyDescent="0.25">
      <c r="A71" s="49" t="s">
        <v>79</v>
      </c>
      <c r="B71" s="50">
        <v>53</v>
      </c>
      <c r="C71" s="50">
        <v>60</v>
      </c>
      <c r="D71" s="50">
        <v>61</v>
      </c>
      <c r="E71" s="50">
        <v>61</v>
      </c>
      <c r="F71" s="50">
        <v>61</v>
      </c>
      <c r="G71" s="50">
        <v>60</v>
      </c>
      <c r="H71" s="50">
        <v>55</v>
      </c>
      <c r="I71" s="50">
        <v>60</v>
      </c>
      <c r="J71" s="50">
        <v>62</v>
      </c>
      <c r="K71" s="50">
        <v>62</v>
      </c>
      <c r="L71" s="50">
        <v>62</v>
      </c>
      <c r="M71" s="50">
        <v>53.8</v>
      </c>
      <c r="N71" s="50">
        <v>65.400000000000006</v>
      </c>
      <c r="O71" s="50">
        <v>61.6</v>
      </c>
      <c r="P71" s="50">
        <v>57.1</v>
      </c>
      <c r="Q71" s="50">
        <v>49.2</v>
      </c>
      <c r="R71" s="50">
        <v>67</v>
      </c>
      <c r="S71" s="50">
        <v>65</v>
      </c>
      <c r="T71" s="50">
        <v>60</v>
      </c>
      <c r="U71" s="50">
        <v>60</v>
      </c>
      <c r="V71" s="50">
        <v>60</v>
      </c>
      <c r="W71" s="50">
        <v>60</v>
      </c>
      <c r="X71" s="50">
        <v>70</v>
      </c>
      <c r="Y71" s="50">
        <v>70</v>
      </c>
      <c r="Z71" s="50">
        <v>70</v>
      </c>
      <c r="AA71" s="50">
        <v>70</v>
      </c>
      <c r="AB71" s="50">
        <v>64</v>
      </c>
      <c r="AC71" s="50">
        <v>64</v>
      </c>
      <c r="AD71" s="50">
        <v>64</v>
      </c>
      <c r="AE71" s="50">
        <v>56</v>
      </c>
      <c r="AF71" s="50">
        <v>54.7</v>
      </c>
      <c r="AG71" s="56"/>
      <c r="AH71" s="52">
        <f t="shared" si="2"/>
        <v>70</v>
      </c>
      <c r="AI71" s="53">
        <f t="shared" si="3"/>
        <v>49.2</v>
      </c>
      <c r="AK71" s="54"/>
    </row>
    <row r="72" spans="1:40" x14ac:dyDescent="0.25">
      <c r="A72" s="60" t="s">
        <v>80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/>
      <c r="AF72" s="72"/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314</v>
      </c>
      <c r="C73" s="72">
        <v>305</v>
      </c>
      <c r="D73" s="72">
        <v>270</v>
      </c>
      <c r="E73" s="72">
        <v>270</v>
      </c>
      <c r="F73" s="72">
        <v>286</v>
      </c>
      <c r="G73" s="72">
        <v>280</v>
      </c>
      <c r="H73" s="72">
        <v>300</v>
      </c>
      <c r="I73" s="72">
        <v>290</v>
      </c>
      <c r="J73" s="72">
        <v>298</v>
      </c>
      <c r="K73" s="72">
        <v>340</v>
      </c>
      <c r="L73" s="72">
        <v>340</v>
      </c>
      <c r="M73" s="72">
        <v>341.6</v>
      </c>
      <c r="N73" s="72">
        <v>368.3</v>
      </c>
      <c r="O73" s="72">
        <v>386.6</v>
      </c>
      <c r="P73" s="72">
        <v>391.6</v>
      </c>
      <c r="Q73" s="72">
        <v>389</v>
      </c>
      <c r="R73" s="72">
        <v>383.2</v>
      </c>
      <c r="S73" s="72">
        <v>400</v>
      </c>
      <c r="T73" s="72">
        <v>385</v>
      </c>
      <c r="U73" s="72">
        <v>397</v>
      </c>
      <c r="V73" s="72">
        <v>397</v>
      </c>
      <c r="W73" s="72">
        <v>381</v>
      </c>
      <c r="X73" s="72">
        <v>380</v>
      </c>
      <c r="Y73" s="72">
        <v>380</v>
      </c>
      <c r="Z73" s="72">
        <v>290</v>
      </c>
      <c r="AA73" s="72">
        <v>233</v>
      </c>
      <c r="AB73" s="72">
        <v>253.1</v>
      </c>
      <c r="AC73" s="72">
        <v>290</v>
      </c>
      <c r="AD73" s="72">
        <v>299</v>
      </c>
      <c r="AE73" s="72">
        <v>335</v>
      </c>
      <c r="AF73" s="72">
        <v>320</v>
      </c>
      <c r="AG73" s="82"/>
      <c r="AH73" s="52">
        <f t="shared" si="2"/>
        <v>400</v>
      </c>
      <c r="AI73" s="53">
        <f t="shared" si="3"/>
        <v>233</v>
      </c>
      <c r="AK73" s="54"/>
    </row>
    <row r="74" spans="1:40" x14ac:dyDescent="0.25">
      <c r="A74" s="60" t="s">
        <v>82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83">
        <v>0</v>
      </c>
      <c r="N74" s="83">
        <v>0</v>
      </c>
      <c r="O74" s="83">
        <v>0</v>
      </c>
      <c r="P74" s="83">
        <v>7</v>
      </c>
      <c r="Q74" s="83">
        <v>8</v>
      </c>
      <c r="R74" s="83">
        <v>8</v>
      </c>
      <c r="S74" s="83">
        <v>8</v>
      </c>
      <c r="T74" s="83">
        <v>8</v>
      </c>
      <c r="U74" s="83">
        <v>8</v>
      </c>
      <c r="V74" s="83">
        <v>8</v>
      </c>
      <c r="W74" s="83">
        <v>8</v>
      </c>
      <c r="X74" s="83">
        <v>8</v>
      </c>
      <c r="Y74" s="83">
        <v>8</v>
      </c>
      <c r="Z74" s="83">
        <v>8</v>
      </c>
      <c r="AA74" s="83">
        <v>8</v>
      </c>
      <c r="AB74" s="72">
        <v>8</v>
      </c>
      <c r="AC74" s="72">
        <v>8</v>
      </c>
      <c r="AD74" s="72">
        <v>8</v>
      </c>
      <c r="AE74" s="72">
        <v>8</v>
      </c>
      <c r="AF74" s="72">
        <v>8</v>
      </c>
      <c r="AG74" s="82"/>
      <c r="AH74" s="52">
        <f t="shared" si="2"/>
        <v>8</v>
      </c>
      <c r="AI74" s="53">
        <f t="shared" si="3"/>
        <v>0</v>
      </c>
      <c r="AK74" s="54"/>
    </row>
    <row r="75" spans="1:40" x14ac:dyDescent="0.25">
      <c r="A75" s="60" t="s">
        <v>83</v>
      </c>
      <c r="B75" s="50">
        <v>0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50">
        <v>0</v>
      </c>
      <c r="P75" s="50">
        <v>0</v>
      </c>
      <c r="Q75" s="50">
        <v>0</v>
      </c>
      <c r="R75" s="50">
        <v>0</v>
      </c>
      <c r="S75" s="50">
        <v>0</v>
      </c>
      <c r="T75" s="50">
        <v>0</v>
      </c>
      <c r="U75" s="50">
        <v>0</v>
      </c>
      <c r="V75" s="50">
        <v>0</v>
      </c>
      <c r="W75" s="50">
        <v>0</v>
      </c>
      <c r="X75" s="50">
        <v>0</v>
      </c>
      <c r="Y75" s="50">
        <v>0</v>
      </c>
      <c r="Z75" s="50">
        <v>0</v>
      </c>
      <c r="AA75" s="50">
        <v>0</v>
      </c>
      <c r="AB75" s="50">
        <v>0</v>
      </c>
      <c r="AC75" s="50">
        <v>0</v>
      </c>
      <c r="AD75" s="50">
        <v>0</v>
      </c>
      <c r="AE75" s="50"/>
      <c r="AF75" s="50"/>
      <c r="AG75" s="82"/>
      <c r="AH75" s="52">
        <f t="shared" ref="AH75:AH117" si="24">MAX(B75:AF75)</f>
        <v>0</v>
      </c>
      <c r="AI75" s="53">
        <f t="shared" ref="AI75:AI117" si="25">MIN(B75:AF75)</f>
        <v>0</v>
      </c>
      <c r="AK75" s="54"/>
    </row>
    <row r="76" spans="1:40" x14ac:dyDescent="0.25">
      <c r="A76" s="60" t="s">
        <v>84</v>
      </c>
      <c r="B76" s="50">
        <v>0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5</v>
      </c>
      <c r="AB76" s="84">
        <v>5</v>
      </c>
      <c r="AC76" s="84">
        <v>5</v>
      </c>
      <c r="AD76" s="84">
        <v>5</v>
      </c>
      <c r="AE76" s="84">
        <v>5</v>
      </c>
      <c r="AF76" s="84">
        <v>5</v>
      </c>
      <c r="AG76" s="82"/>
      <c r="AH76" s="52">
        <f t="shared" si="24"/>
        <v>5</v>
      </c>
      <c r="AI76" s="53">
        <f t="shared" si="25"/>
        <v>0</v>
      </c>
      <c r="AK76" s="54"/>
    </row>
    <row r="77" spans="1:40" ht="15.75" thickBot="1" x14ac:dyDescent="0.3">
      <c r="A77" s="60" t="s">
        <v>85</v>
      </c>
      <c r="B77" s="50">
        <v>0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/>
      <c r="AF77" s="84"/>
      <c r="AG77" s="82"/>
      <c r="AH77" s="52">
        <f t="shared" si="24"/>
        <v>0</v>
      </c>
      <c r="AI77" s="53">
        <f t="shared" si="25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50">
        <v>0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/>
      <c r="AF78" s="84"/>
      <c r="AG78" s="82"/>
      <c r="AH78" s="52">
        <f t="shared" si="24"/>
        <v>0</v>
      </c>
      <c r="AI78" s="53">
        <f t="shared" si="25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50">
        <v>0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10</v>
      </c>
      <c r="V79" s="84">
        <v>10</v>
      </c>
      <c r="W79" s="84">
        <v>10</v>
      </c>
      <c r="X79" s="84">
        <v>10</v>
      </c>
      <c r="Y79" s="84">
        <v>10</v>
      </c>
      <c r="Z79" s="84">
        <v>10</v>
      </c>
      <c r="AA79" s="84">
        <v>10</v>
      </c>
      <c r="AB79" s="84">
        <v>3</v>
      </c>
      <c r="AC79" s="84">
        <v>3</v>
      </c>
      <c r="AD79" s="84">
        <v>0</v>
      </c>
      <c r="AE79" s="84">
        <v>0</v>
      </c>
      <c r="AF79" s="84">
        <v>0</v>
      </c>
      <c r="AG79" s="82"/>
      <c r="AH79" s="52">
        <f t="shared" si="24"/>
        <v>10</v>
      </c>
      <c r="AI79" s="53">
        <f t="shared" si="25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50">
        <v>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/>
      <c r="AF80" s="84"/>
      <c r="AG80" s="92"/>
      <c r="AH80" s="52">
        <f t="shared" si="24"/>
        <v>0</v>
      </c>
      <c r="AI80" s="53">
        <f t="shared" si="25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50">
        <v>0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/>
      <c r="AF81" s="84"/>
      <c r="AG81" s="92"/>
      <c r="AH81" s="52">
        <f t="shared" si="24"/>
        <v>0</v>
      </c>
      <c r="AI81" s="53">
        <f t="shared" si="25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:AF82" si="26">SUMIF(B71:B81,"&gt;0")</f>
        <v>367</v>
      </c>
      <c r="C82" s="67">
        <f t="shared" si="26"/>
        <v>365</v>
      </c>
      <c r="D82" s="67">
        <f t="shared" si="26"/>
        <v>331</v>
      </c>
      <c r="E82" s="67">
        <f t="shared" si="26"/>
        <v>331</v>
      </c>
      <c r="F82" s="67">
        <f t="shared" si="26"/>
        <v>347</v>
      </c>
      <c r="G82" s="67">
        <f t="shared" ref="G82:H82" si="27">SUMIF(G71:G81,"&gt;0")</f>
        <v>340</v>
      </c>
      <c r="H82" s="67">
        <f t="shared" si="27"/>
        <v>355</v>
      </c>
      <c r="I82" s="67">
        <f t="shared" si="26"/>
        <v>350</v>
      </c>
      <c r="J82" s="67">
        <f t="shared" si="26"/>
        <v>360</v>
      </c>
      <c r="K82" s="67">
        <f t="shared" si="26"/>
        <v>402</v>
      </c>
      <c r="L82" s="67">
        <f t="shared" si="26"/>
        <v>402</v>
      </c>
      <c r="M82" s="67">
        <f t="shared" si="26"/>
        <v>395.40000000000003</v>
      </c>
      <c r="N82" s="67">
        <f t="shared" si="26"/>
        <v>433.70000000000005</v>
      </c>
      <c r="O82" s="67">
        <f t="shared" si="26"/>
        <v>448.20000000000005</v>
      </c>
      <c r="P82" s="67">
        <f t="shared" si="26"/>
        <v>455.70000000000005</v>
      </c>
      <c r="Q82" s="67">
        <f t="shared" si="26"/>
        <v>446.2</v>
      </c>
      <c r="R82" s="67">
        <f t="shared" si="26"/>
        <v>458.2</v>
      </c>
      <c r="S82" s="67">
        <f t="shared" si="26"/>
        <v>473</v>
      </c>
      <c r="T82" s="67">
        <f t="shared" si="26"/>
        <v>453</v>
      </c>
      <c r="U82" s="67">
        <f t="shared" si="26"/>
        <v>475</v>
      </c>
      <c r="V82" s="67">
        <f t="shared" si="26"/>
        <v>475</v>
      </c>
      <c r="W82" s="67">
        <f t="shared" si="26"/>
        <v>459</v>
      </c>
      <c r="X82" s="67">
        <f t="shared" ref="X82" si="28">SUMIF(X71:X81,"&gt;0")</f>
        <v>468</v>
      </c>
      <c r="Y82" s="67">
        <f t="shared" si="26"/>
        <v>468</v>
      </c>
      <c r="Z82" s="67">
        <f t="shared" si="26"/>
        <v>378</v>
      </c>
      <c r="AA82" s="67">
        <f t="shared" ref="AA82" si="29">SUMIF(AA71:AA81,"&gt;0")</f>
        <v>326</v>
      </c>
      <c r="AB82" s="67">
        <f>SUMIF(AB71:AB81,"&gt;0")</f>
        <v>333.1</v>
      </c>
      <c r="AC82" s="67">
        <f t="shared" si="26"/>
        <v>370</v>
      </c>
      <c r="AD82" s="67">
        <f t="shared" si="26"/>
        <v>376</v>
      </c>
      <c r="AE82" s="67">
        <f t="shared" si="26"/>
        <v>404</v>
      </c>
      <c r="AF82" s="67">
        <f t="shared" si="26"/>
        <v>387.7</v>
      </c>
      <c r="AG82" s="95">
        <f>SUM(AG71:AG81)</f>
        <v>0</v>
      </c>
      <c r="AH82" s="52">
        <f t="shared" si="24"/>
        <v>475</v>
      </c>
      <c r="AI82" s="53">
        <f t="shared" si="25"/>
        <v>326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24"/>
        <v>0</v>
      </c>
      <c r="AI83" s="53">
        <f t="shared" si="25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24"/>
        <v>0</v>
      </c>
      <c r="AI84" s="53">
        <f t="shared" si="25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24"/>
        <v>0</v>
      </c>
      <c r="AI85" s="53">
        <f t="shared" si="25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24"/>
        <v>0</v>
      </c>
      <c r="AI86" s="53">
        <f t="shared" si="25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:AG87" si="30">B48+B52+B70+B66+B82+B86</f>
        <v>1218.24</v>
      </c>
      <c r="C87" s="102">
        <f t="shared" si="30"/>
        <v>1224.8399999999999</v>
      </c>
      <c r="D87" s="102">
        <f t="shared" si="30"/>
        <v>1194.8399999999999</v>
      </c>
      <c r="E87" s="102">
        <f t="shared" si="30"/>
        <v>1194.8399999999999</v>
      </c>
      <c r="F87" s="102">
        <f t="shared" si="30"/>
        <v>1179.8399999999999</v>
      </c>
      <c r="G87" s="102">
        <f t="shared" ref="G87:H87" si="31">G48+G52+G70+G66+G82+G86</f>
        <v>1208.8399999999999</v>
      </c>
      <c r="H87" s="102">
        <f t="shared" si="31"/>
        <v>1311.94</v>
      </c>
      <c r="I87" s="102">
        <f t="shared" si="30"/>
        <v>1321.94</v>
      </c>
      <c r="J87" s="102">
        <f t="shared" si="30"/>
        <v>1373.84</v>
      </c>
      <c r="K87" s="102">
        <f t="shared" si="30"/>
        <v>1375.84</v>
      </c>
      <c r="L87" s="102">
        <f t="shared" si="30"/>
        <v>1386.74</v>
      </c>
      <c r="M87" s="102">
        <f t="shared" si="30"/>
        <v>1365.44</v>
      </c>
      <c r="N87" s="102">
        <f t="shared" si="30"/>
        <v>1398.54</v>
      </c>
      <c r="O87" s="102">
        <f t="shared" si="30"/>
        <v>1408.14</v>
      </c>
      <c r="P87" s="102">
        <f t="shared" si="30"/>
        <v>1425.94</v>
      </c>
      <c r="Q87" s="102">
        <f t="shared" si="30"/>
        <v>1413.1399999999999</v>
      </c>
      <c r="R87" s="102">
        <f t="shared" si="30"/>
        <v>1444.04</v>
      </c>
      <c r="S87" s="102">
        <f t="shared" si="30"/>
        <v>1450.84</v>
      </c>
      <c r="T87" s="102">
        <f t="shared" si="30"/>
        <v>1455.84</v>
      </c>
      <c r="U87" s="102">
        <f t="shared" si="30"/>
        <v>1469.44</v>
      </c>
      <c r="V87" s="102">
        <f t="shared" si="30"/>
        <v>1426.94</v>
      </c>
      <c r="W87" s="102">
        <f t="shared" si="30"/>
        <v>1422.24</v>
      </c>
      <c r="X87" s="102">
        <f t="shared" ref="X87" si="32">X48+X52+X70+X66+X82+X86</f>
        <v>1371.34</v>
      </c>
      <c r="Y87" s="102">
        <f t="shared" si="30"/>
        <v>1391.34</v>
      </c>
      <c r="Z87" s="102">
        <f t="shared" si="30"/>
        <v>1539.1399999999999</v>
      </c>
      <c r="AA87" s="102">
        <f t="shared" ref="AA87" si="33">AA48+AA52+AA70+AA66+AA82+AA86</f>
        <v>1563.1399999999999</v>
      </c>
      <c r="AB87" s="102">
        <f t="shared" si="30"/>
        <v>1523.54</v>
      </c>
      <c r="AC87" s="102">
        <f t="shared" si="30"/>
        <v>1490.44</v>
      </c>
      <c r="AD87" s="102">
        <f t="shared" si="30"/>
        <v>1486.44</v>
      </c>
      <c r="AE87" s="102">
        <f t="shared" si="30"/>
        <v>1418.24</v>
      </c>
      <c r="AF87" s="102">
        <f t="shared" si="30"/>
        <v>1393.04</v>
      </c>
      <c r="AG87" s="68">
        <f t="shared" si="30"/>
        <v>2065.09</v>
      </c>
      <c r="AH87" s="52">
        <f>MAX(B87:AF87)</f>
        <v>1563.1399999999999</v>
      </c>
      <c r="AI87" s="53">
        <f>MIN(B87:AF87)</f>
        <v>1179.8399999999999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>
        <v>100</v>
      </c>
      <c r="M88" s="104">
        <v>100</v>
      </c>
      <c r="N88" s="104">
        <v>80</v>
      </c>
      <c r="O88" s="104">
        <v>70</v>
      </c>
      <c r="P88" s="104"/>
      <c r="Q88" s="104"/>
      <c r="R88" s="104"/>
      <c r="S88" s="104"/>
      <c r="T88" s="104"/>
      <c r="U88" s="104"/>
      <c r="V88" s="104"/>
      <c r="W88" s="104"/>
      <c r="X88" s="104"/>
      <c r="Y88" s="104">
        <v>150</v>
      </c>
      <c r="Z88" s="104">
        <v>150</v>
      </c>
      <c r="AA88" s="104">
        <v>150</v>
      </c>
      <c r="AB88" s="104">
        <v>150</v>
      </c>
      <c r="AC88" s="104">
        <v>150</v>
      </c>
      <c r="AD88" s="104">
        <v>150</v>
      </c>
      <c r="AE88" s="104"/>
      <c r="AF88" s="104"/>
      <c r="AG88" s="95"/>
      <c r="AH88" s="52">
        <f t="shared" si="24"/>
        <v>150</v>
      </c>
      <c r="AI88" s="53">
        <f t="shared" si="25"/>
        <v>70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:AF89" si="34">B87+B88</f>
        <v>1218.24</v>
      </c>
      <c r="C89" s="102">
        <f t="shared" si="34"/>
        <v>1224.8399999999999</v>
      </c>
      <c r="D89" s="102">
        <f t="shared" si="34"/>
        <v>1194.8399999999999</v>
      </c>
      <c r="E89" s="102">
        <f t="shared" si="34"/>
        <v>1194.8399999999999</v>
      </c>
      <c r="F89" s="102">
        <f t="shared" si="34"/>
        <v>1179.8399999999999</v>
      </c>
      <c r="G89" s="102">
        <f t="shared" ref="G89:H89" si="35">G87+G88</f>
        <v>1208.8399999999999</v>
      </c>
      <c r="H89" s="102">
        <f t="shared" si="35"/>
        <v>1311.94</v>
      </c>
      <c r="I89" s="102">
        <f t="shared" si="34"/>
        <v>1321.94</v>
      </c>
      <c r="J89" s="102">
        <f t="shared" si="34"/>
        <v>1373.84</v>
      </c>
      <c r="K89" s="102">
        <f t="shared" si="34"/>
        <v>1375.84</v>
      </c>
      <c r="L89" s="102">
        <f t="shared" si="34"/>
        <v>1486.74</v>
      </c>
      <c r="M89" s="102">
        <f t="shared" si="34"/>
        <v>1465.44</v>
      </c>
      <c r="N89" s="102">
        <f t="shared" si="34"/>
        <v>1478.54</v>
      </c>
      <c r="O89" s="102">
        <f t="shared" si="34"/>
        <v>1478.14</v>
      </c>
      <c r="P89" s="102">
        <f t="shared" si="34"/>
        <v>1425.94</v>
      </c>
      <c r="Q89" s="102">
        <f t="shared" si="34"/>
        <v>1413.1399999999999</v>
      </c>
      <c r="R89" s="102">
        <f t="shared" si="34"/>
        <v>1444.04</v>
      </c>
      <c r="S89" s="102">
        <f t="shared" si="34"/>
        <v>1450.84</v>
      </c>
      <c r="T89" s="102">
        <f t="shared" si="34"/>
        <v>1455.84</v>
      </c>
      <c r="U89" s="102">
        <f t="shared" si="34"/>
        <v>1469.44</v>
      </c>
      <c r="V89" s="102">
        <f t="shared" si="34"/>
        <v>1426.94</v>
      </c>
      <c r="W89" s="102">
        <f t="shared" si="34"/>
        <v>1422.24</v>
      </c>
      <c r="X89" s="102">
        <f t="shared" ref="X89" si="36">X87+X88</f>
        <v>1371.34</v>
      </c>
      <c r="Y89" s="102">
        <f t="shared" si="34"/>
        <v>1541.34</v>
      </c>
      <c r="Z89" s="102">
        <f t="shared" si="34"/>
        <v>1689.1399999999999</v>
      </c>
      <c r="AA89" s="102">
        <f t="shared" ref="AA89" si="37">AA87+AA88</f>
        <v>1713.1399999999999</v>
      </c>
      <c r="AB89" s="102">
        <f t="shared" si="34"/>
        <v>1673.54</v>
      </c>
      <c r="AC89" s="102">
        <f t="shared" si="34"/>
        <v>1640.44</v>
      </c>
      <c r="AD89" s="102">
        <f t="shared" si="34"/>
        <v>1636.44</v>
      </c>
      <c r="AE89" s="102">
        <f t="shared" si="34"/>
        <v>1418.24</v>
      </c>
      <c r="AF89" s="102">
        <f t="shared" si="34"/>
        <v>1393.04</v>
      </c>
      <c r="AG89" s="95">
        <f>AG86+AG82+AG70+AG66+AG48+AG88</f>
        <v>1526.99</v>
      </c>
      <c r="AH89" s="52">
        <f t="shared" si="24"/>
        <v>1713.1399999999999</v>
      </c>
      <c r="AI89" s="53">
        <f t="shared" si="25"/>
        <v>1179.8399999999999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:AF90" si="38">B89-B97</f>
        <v>1218.24</v>
      </c>
      <c r="C90" s="102">
        <f t="shared" si="38"/>
        <v>1224.8399999999999</v>
      </c>
      <c r="D90" s="102">
        <f t="shared" si="38"/>
        <v>1194.8399999999999</v>
      </c>
      <c r="E90" s="102">
        <f t="shared" si="38"/>
        <v>1194.8399999999999</v>
      </c>
      <c r="F90" s="102">
        <f t="shared" si="38"/>
        <v>1179.8399999999999</v>
      </c>
      <c r="G90" s="102">
        <f t="shared" ref="G90:H90" si="39">G89-G97</f>
        <v>1208.8399999999999</v>
      </c>
      <c r="H90" s="102">
        <f t="shared" si="39"/>
        <v>1311.94</v>
      </c>
      <c r="I90" s="102">
        <f t="shared" si="38"/>
        <v>1321.94</v>
      </c>
      <c r="J90" s="102">
        <f t="shared" si="38"/>
        <v>1373.84</v>
      </c>
      <c r="K90" s="102">
        <f t="shared" si="38"/>
        <v>1375.84</v>
      </c>
      <c r="L90" s="102">
        <f t="shared" si="38"/>
        <v>1486.74</v>
      </c>
      <c r="M90" s="102">
        <f t="shared" si="38"/>
        <v>1465.44</v>
      </c>
      <c r="N90" s="102">
        <f t="shared" si="38"/>
        <v>1478.54</v>
      </c>
      <c r="O90" s="102">
        <f t="shared" si="38"/>
        <v>1478.14</v>
      </c>
      <c r="P90" s="102">
        <f t="shared" si="38"/>
        <v>1425.94</v>
      </c>
      <c r="Q90" s="102">
        <f t="shared" si="38"/>
        <v>1413.1399999999999</v>
      </c>
      <c r="R90" s="102">
        <f t="shared" si="38"/>
        <v>1444.04</v>
      </c>
      <c r="S90" s="102">
        <f t="shared" si="38"/>
        <v>1450.84</v>
      </c>
      <c r="T90" s="102">
        <f t="shared" si="38"/>
        <v>1455.84</v>
      </c>
      <c r="U90" s="102">
        <f t="shared" si="38"/>
        <v>1469.44</v>
      </c>
      <c r="V90" s="102">
        <f t="shared" si="38"/>
        <v>1426.94</v>
      </c>
      <c r="W90" s="102">
        <f t="shared" si="38"/>
        <v>1422.24</v>
      </c>
      <c r="X90" s="102">
        <f t="shared" ref="X90" si="40">X89-X97</f>
        <v>1371.34</v>
      </c>
      <c r="Y90" s="102">
        <f t="shared" si="38"/>
        <v>1541.34</v>
      </c>
      <c r="Z90" s="102">
        <f t="shared" si="38"/>
        <v>1689.1399999999999</v>
      </c>
      <c r="AA90" s="102">
        <f t="shared" ref="AA90" si="41">AA89-AA97</f>
        <v>1713.1399999999999</v>
      </c>
      <c r="AB90" s="102">
        <f t="shared" si="38"/>
        <v>1673.54</v>
      </c>
      <c r="AC90" s="102">
        <f t="shared" si="38"/>
        <v>1640.44</v>
      </c>
      <c r="AD90" s="102">
        <f t="shared" si="38"/>
        <v>1636.44</v>
      </c>
      <c r="AE90" s="102">
        <f t="shared" si="38"/>
        <v>1418.24</v>
      </c>
      <c r="AF90" s="102">
        <f t="shared" si="38"/>
        <v>1393.04</v>
      </c>
      <c r="AG90" s="95"/>
      <c r="AH90" s="52">
        <f t="shared" si="24"/>
        <v>1713.1399999999999</v>
      </c>
      <c r="AI90" s="53">
        <f t="shared" si="25"/>
        <v>1179.8399999999999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24"/>
        <v>0</v>
      </c>
      <c r="AI91" s="53">
        <f t="shared" si="25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24"/>
        <v>0</v>
      </c>
      <c r="AI92" s="53">
        <f t="shared" si="25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24"/>
        <v>0</v>
      </c>
      <c r="AI93" s="53">
        <f t="shared" si="25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24"/>
        <v>0</v>
      </c>
      <c r="AI94" s="53">
        <f t="shared" si="25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24"/>
        <v>0</v>
      </c>
      <c r="AI95" s="53">
        <f t="shared" si="25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24"/>
        <v>0</v>
      </c>
      <c r="AI96" s="53">
        <f t="shared" si="25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24"/>
        <v>0</v>
      </c>
      <c r="AI97" s="53">
        <f t="shared" si="25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:AF98" si="42">B82-B97</f>
        <v>367</v>
      </c>
      <c r="C98" s="67">
        <f t="shared" si="42"/>
        <v>365</v>
      </c>
      <c r="D98" s="67">
        <f t="shared" si="42"/>
        <v>331</v>
      </c>
      <c r="E98" s="67">
        <f t="shared" si="42"/>
        <v>331</v>
      </c>
      <c r="F98" s="67">
        <f t="shared" si="42"/>
        <v>347</v>
      </c>
      <c r="G98" s="67">
        <f t="shared" ref="G98:H98" si="43">G82-G97</f>
        <v>340</v>
      </c>
      <c r="H98" s="67">
        <f t="shared" si="43"/>
        <v>355</v>
      </c>
      <c r="I98" s="67">
        <f t="shared" si="42"/>
        <v>350</v>
      </c>
      <c r="J98" s="67">
        <f t="shared" si="42"/>
        <v>360</v>
      </c>
      <c r="K98" s="67">
        <f t="shared" si="42"/>
        <v>402</v>
      </c>
      <c r="L98" s="67">
        <f t="shared" si="42"/>
        <v>402</v>
      </c>
      <c r="M98" s="67">
        <f t="shared" si="42"/>
        <v>395.40000000000003</v>
      </c>
      <c r="N98" s="67">
        <f t="shared" si="42"/>
        <v>433.70000000000005</v>
      </c>
      <c r="O98" s="67">
        <f t="shared" si="42"/>
        <v>448.20000000000005</v>
      </c>
      <c r="P98" s="67">
        <f t="shared" si="42"/>
        <v>455.70000000000005</v>
      </c>
      <c r="Q98" s="67">
        <f t="shared" si="42"/>
        <v>446.2</v>
      </c>
      <c r="R98" s="67">
        <f t="shared" si="42"/>
        <v>458.2</v>
      </c>
      <c r="S98" s="67">
        <f t="shared" si="42"/>
        <v>473</v>
      </c>
      <c r="T98" s="67">
        <f t="shared" si="42"/>
        <v>453</v>
      </c>
      <c r="U98" s="67">
        <f t="shared" si="42"/>
        <v>475</v>
      </c>
      <c r="V98" s="67">
        <f t="shared" si="42"/>
        <v>475</v>
      </c>
      <c r="W98" s="67">
        <f t="shared" si="42"/>
        <v>459</v>
      </c>
      <c r="X98" s="67">
        <f t="shared" ref="X98" si="44">X82-X97</f>
        <v>468</v>
      </c>
      <c r="Y98" s="67">
        <f t="shared" si="42"/>
        <v>468</v>
      </c>
      <c r="Z98" s="67">
        <f t="shared" si="42"/>
        <v>378</v>
      </c>
      <c r="AA98" s="67">
        <f t="shared" ref="AA98" si="45">AA82-AA97</f>
        <v>326</v>
      </c>
      <c r="AB98" s="67">
        <f t="shared" si="42"/>
        <v>333.1</v>
      </c>
      <c r="AC98" s="67">
        <f t="shared" si="42"/>
        <v>370</v>
      </c>
      <c r="AD98" s="67">
        <f t="shared" si="42"/>
        <v>376</v>
      </c>
      <c r="AE98" s="67">
        <f t="shared" si="42"/>
        <v>404</v>
      </c>
      <c r="AF98" s="67">
        <f t="shared" si="42"/>
        <v>387.7</v>
      </c>
      <c r="AG98" s="95"/>
      <c r="AH98" s="52">
        <f t="shared" si="24"/>
        <v>475</v>
      </c>
      <c r="AI98" s="53">
        <f t="shared" si="25"/>
        <v>326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49.99</v>
      </c>
      <c r="C99" s="108">
        <v>50</v>
      </c>
      <c r="D99" s="108">
        <v>49.97</v>
      </c>
      <c r="E99" s="108">
        <v>49.93</v>
      </c>
      <c r="F99" s="108">
        <v>50.01</v>
      </c>
      <c r="G99" s="108">
        <v>50.01</v>
      </c>
      <c r="H99" s="108">
        <v>50.05</v>
      </c>
      <c r="I99" s="108">
        <v>50.01</v>
      </c>
      <c r="J99" s="108">
        <v>49.99</v>
      </c>
      <c r="K99" s="108">
        <v>49.99</v>
      </c>
      <c r="L99" s="108">
        <v>49.99</v>
      </c>
      <c r="M99" s="108">
        <v>49.816000000000003</v>
      </c>
      <c r="N99" s="108">
        <v>50.015000000000001</v>
      </c>
      <c r="O99" s="108">
        <v>49.99</v>
      </c>
      <c r="P99" s="108">
        <v>49.95</v>
      </c>
      <c r="Q99" s="108">
        <v>50.021999999999998</v>
      </c>
      <c r="R99" s="108">
        <v>50.027000000000001</v>
      </c>
      <c r="S99" s="108">
        <v>50.08</v>
      </c>
      <c r="T99" s="108">
        <v>49.95</v>
      </c>
      <c r="U99" s="108">
        <v>49.98</v>
      </c>
      <c r="V99" s="108">
        <v>49.98</v>
      </c>
      <c r="W99" s="108">
        <v>50.03</v>
      </c>
      <c r="X99" s="108">
        <v>50.09</v>
      </c>
      <c r="Y99" s="108">
        <v>50.02</v>
      </c>
      <c r="Z99" s="108">
        <v>50.1</v>
      </c>
      <c r="AA99" s="108">
        <v>49.78</v>
      </c>
      <c r="AB99" s="108">
        <v>49.991</v>
      </c>
      <c r="AC99" s="108">
        <v>50.029000000000003</v>
      </c>
      <c r="AD99" s="108">
        <v>49.953000000000003</v>
      </c>
      <c r="AE99" s="108">
        <v>50.006</v>
      </c>
      <c r="AF99" s="108">
        <v>49.997999999999998</v>
      </c>
      <c r="AG99" s="109"/>
      <c r="AH99" s="52">
        <f t="shared" si="24"/>
        <v>50.1</v>
      </c>
      <c r="AI99" s="53">
        <f t="shared" si="25"/>
        <v>49.78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127</v>
      </c>
      <c r="C100" s="72">
        <v>127</v>
      </c>
      <c r="D100" s="72">
        <v>129</v>
      </c>
      <c r="E100" s="72">
        <v>129</v>
      </c>
      <c r="F100" s="72">
        <v>129.80000000000001</v>
      </c>
      <c r="G100" s="72">
        <v>129.80000000000001</v>
      </c>
      <c r="H100" s="72">
        <v>126.6</v>
      </c>
      <c r="I100" s="72">
        <v>126.6</v>
      </c>
      <c r="J100" s="72">
        <v>125.8</v>
      </c>
      <c r="K100" s="72">
        <v>125.8</v>
      </c>
      <c r="L100" s="72">
        <v>125.8</v>
      </c>
      <c r="M100" s="72">
        <v>126.3</v>
      </c>
      <c r="N100" s="72">
        <v>124.6</v>
      </c>
      <c r="O100" s="72">
        <v>123.5</v>
      </c>
      <c r="P100" s="72">
        <v>124.3</v>
      </c>
      <c r="Q100" s="72">
        <v>124.4</v>
      </c>
      <c r="R100" s="72">
        <v>124.7</v>
      </c>
      <c r="S100" s="72">
        <v>124.2</v>
      </c>
      <c r="T100" s="72">
        <v>123.7</v>
      </c>
      <c r="U100" s="72">
        <v>123.4</v>
      </c>
      <c r="V100" s="72">
        <v>123.4</v>
      </c>
      <c r="W100" s="72">
        <v>125.1</v>
      </c>
      <c r="X100" s="72">
        <v>125.4</v>
      </c>
      <c r="Y100" s="72">
        <v>127</v>
      </c>
      <c r="Z100" s="72">
        <v>127.3</v>
      </c>
      <c r="AA100" s="72">
        <v>126.1</v>
      </c>
      <c r="AB100" s="72">
        <v>127.5</v>
      </c>
      <c r="AC100" s="72">
        <v>127.6</v>
      </c>
      <c r="AD100" s="72">
        <v>126.2</v>
      </c>
      <c r="AE100" s="72">
        <v>126</v>
      </c>
      <c r="AF100" s="72">
        <v>125.5</v>
      </c>
      <c r="AG100" s="111"/>
      <c r="AH100" s="52">
        <f t="shared" si="24"/>
        <v>129.80000000000001</v>
      </c>
      <c r="AI100" s="53">
        <f t="shared" si="25"/>
        <v>123.4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131</v>
      </c>
      <c r="C101" s="72">
        <v>131</v>
      </c>
      <c r="D101" s="72">
        <v>132</v>
      </c>
      <c r="E101" s="72">
        <v>132</v>
      </c>
      <c r="F101" s="72">
        <v>133.1</v>
      </c>
      <c r="G101" s="72">
        <v>133.1</v>
      </c>
      <c r="H101" s="72">
        <v>130.4</v>
      </c>
      <c r="I101" s="72">
        <v>130.4</v>
      </c>
      <c r="J101" s="72">
        <v>129.19999999999999</v>
      </c>
      <c r="K101" s="72">
        <v>129.19999999999999</v>
      </c>
      <c r="L101" s="72">
        <v>128.69999999999999</v>
      </c>
      <c r="M101" s="72">
        <v>128.4</v>
      </c>
      <c r="N101" s="72">
        <v>127.7</v>
      </c>
      <c r="O101" s="72">
        <v>126.9</v>
      </c>
      <c r="P101" s="72">
        <v>128</v>
      </c>
      <c r="Q101" s="72">
        <v>128.1</v>
      </c>
      <c r="R101" s="72">
        <v>128.19999999999999</v>
      </c>
      <c r="S101" s="72">
        <v>127.7</v>
      </c>
      <c r="T101" s="72">
        <v>127.5</v>
      </c>
      <c r="U101" s="72">
        <v>127.3</v>
      </c>
      <c r="V101" s="72">
        <v>127.3</v>
      </c>
      <c r="W101" s="72">
        <v>129.1</v>
      </c>
      <c r="X101" s="72">
        <v>129.5</v>
      </c>
      <c r="Y101" s="72">
        <v>129.9</v>
      </c>
      <c r="Z101" s="72">
        <v>130.6</v>
      </c>
      <c r="AA101" s="72">
        <v>129.5</v>
      </c>
      <c r="AB101" s="72">
        <v>130.9</v>
      </c>
      <c r="AC101" s="72">
        <v>131.30000000000001</v>
      </c>
      <c r="AD101" s="72">
        <v>130</v>
      </c>
      <c r="AE101" s="72">
        <v>130.69999999999999</v>
      </c>
      <c r="AF101" s="72">
        <v>130.4</v>
      </c>
      <c r="AG101" s="111"/>
      <c r="AH101" s="52">
        <f t="shared" si="24"/>
        <v>133.1</v>
      </c>
      <c r="AI101" s="53">
        <f t="shared" si="25"/>
        <v>126.9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130</v>
      </c>
      <c r="C102" s="72">
        <v>130</v>
      </c>
      <c r="D102" s="72">
        <v>132</v>
      </c>
      <c r="E102" s="72">
        <v>132</v>
      </c>
      <c r="F102" s="72">
        <v>131</v>
      </c>
      <c r="G102" s="72">
        <v>131</v>
      </c>
      <c r="H102" s="72">
        <v>130.1</v>
      </c>
      <c r="I102" s="72">
        <v>130.1</v>
      </c>
      <c r="J102" s="72">
        <v>128.30000000000001</v>
      </c>
      <c r="K102" s="72">
        <v>128.30000000000001</v>
      </c>
      <c r="L102" s="72">
        <v>129.30000000000001</v>
      </c>
      <c r="M102" s="72">
        <v>123.9</v>
      </c>
      <c r="N102" s="72">
        <v>124.2</v>
      </c>
      <c r="O102" s="72">
        <v>129</v>
      </c>
      <c r="P102" s="72">
        <v>123.2</v>
      </c>
      <c r="Q102" s="72">
        <v>125.2</v>
      </c>
      <c r="R102" s="72">
        <v>127.1</v>
      </c>
      <c r="S102" s="72">
        <v>124.6</v>
      </c>
      <c r="T102" s="72">
        <v>118</v>
      </c>
      <c r="U102" s="72">
        <v>126.1</v>
      </c>
      <c r="V102" s="72">
        <v>126.1</v>
      </c>
      <c r="W102" s="72">
        <v>125.2</v>
      </c>
      <c r="X102" s="72">
        <v>128.1</v>
      </c>
      <c r="Y102" s="72">
        <v>127.3</v>
      </c>
      <c r="Z102" s="72">
        <v>127</v>
      </c>
      <c r="AA102" s="72">
        <v>126</v>
      </c>
      <c r="AB102" s="72">
        <v>127</v>
      </c>
      <c r="AC102" s="72">
        <v>126.1</v>
      </c>
      <c r="AD102" s="72">
        <v>126.7</v>
      </c>
      <c r="AE102" s="72">
        <v>130.5</v>
      </c>
      <c r="AF102" s="72">
        <v>126.8</v>
      </c>
      <c r="AG102" s="111"/>
      <c r="AH102" s="52">
        <f t="shared" si="24"/>
        <v>132</v>
      </c>
      <c r="AI102" s="53">
        <f t="shared" si="25"/>
        <v>118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24"/>
        <v>0</v>
      </c>
      <c r="AI103" s="53">
        <f t="shared" si="25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133</v>
      </c>
      <c r="C104" s="113">
        <v>133</v>
      </c>
      <c r="D104" s="113">
        <v>131</v>
      </c>
      <c r="E104" s="113">
        <v>131</v>
      </c>
      <c r="F104" s="113">
        <v>134</v>
      </c>
      <c r="G104" s="113">
        <v>134</v>
      </c>
      <c r="H104" s="113">
        <v>133</v>
      </c>
      <c r="I104" s="113">
        <v>133</v>
      </c>
      <c r="J104" s="113">
        <v>132.6</v>
      </c>
      <c r="K104" s="113">
        <v>132.6</v>
      </c>
      <c r="L104" s="113">
        <v>132.4</v>
      </c>
      <c r="M104" s="113">
        <v>132.9</v>
      </c>
      <c r="N104" s="113">
        <v>135</v>
      </c>
      <c r="O104" s="113">
        <v>133</v>
      </c>
      <c r="P104" s="113">
        <v>134.5</v>
      </c>
      <c r="Q104" s="113">
        <v>131.19999999999999</v>
      </c>
      <c r="R104" s="113">
        <v>135.5</v>
      </c>
      <c r="S104" s="113">
        <v>131.19999999999999</v>
      </c>
      <c r="T104" s="113">
        <v>132.80000000000001</v>
      </c>
      <c r="U104" s="113">
        <v>131.80000000000001</v>
      </c>
      <c r="V104" s="113">
        <v>131.80000000000001</v>
      </c>
      <c r="W104" s="113">
        <v>131.80000000000001</v>
      </c>
      <c r="X104" s="113">
        <v>131.80000000000001</v>
      </c>
      <c r="Y104" s="113">
        <v>131.80000000000001</v>
      </c>
      <c r="Z104" s="113">
        <v>131.80000000000001</v>
      </c>
      <c r="AA104" s="113">
        <v>131.80000000000001</v>
      </c>
      <c r="AB104" s="113"/>
      <c r="AC104" s="113"/>
      <c r="AD104" s="113">
        <v>134</v>
      </c>
      <c r="AE104" s="113">
        <v>130.6</v>
      </c>
      <c r="AF104" s="113">
        <v>129.4</v>
      </c>
      <c r="AG104" s="114"/>
      <c r="AH104" s="52">
        <f t="shared" si="24"/>
        <v>135.5</v>
      </c>
      <c r="AI104" s="53">
        <f t="shared" si="25"/>
        <v>129.4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135</v>
      </c>
      <c r="C105" s="72">
        <v>135</v>
      </c>
      <c r="D105" s="72">
        <v>127</v>
      </c>
      <c r="E105" s="72">
        <v>127</v>
      </c>
      <c r="F105" s="72">
        <v>133.4</v>
      </c>
      <c r="G105" s="72">
        <v>133.4</v>
      </c>
      <c r="H105" s="72">
        <v>132.19999999999999</v>
      </c>
      <c r="I105" s="72">
        <v>132.19999999999999</v>
      </c>
      <c r="J105" s="72">
        <v>130.1</v>
      </c>
      <c r="K105" s="72">
        <v>130.1</v>
      </c>
      <c r="L105" s="72">
        <v>135.9</v>
      </c>
      <c r="M105" s="72">
        <v>127.1</v>
      </c>
      <c r="N105" s="72">
        <v>127.8</v>
      </c>
      <c r="O105" s="72">
        <v>123.1</v>
      </c>
      <c r="P105" s="72">
        <v>131</v>
      </c>
      <c r="Q105" s="72">
        <v>130</v>
      </c>
      <c r="R105" s="72">
        <v>132.1</v>
      </c>
      <c r="S105" s="72">
        <v>124.6</v>
      </c>
      <c r="T105" s="72">
        <v>124</v>
      </c>
      <c r="U105" s="72">
        <v>127.2</v>
      </c>
      <c r="V105" s="72">
        <v>127.2</v>
      </c>
      <c r="W105" s="72">
        <v>127.2</v>
      </c>
      <c r="X105" s="72">
        <v>127.2</v>
      </c>
      <c r="Y105" s="72">
        <v>127.2</v>
      </c>
      <c r="Z105" s="72">
        <v>127.2</v>
      </c>
      <c r="AA105" s="72">
        <v>127.2</v>
      </c>
      <c r="AB105" s="72">
        <v>131.6</v>
      </c>
      <c r="AC105" s="72">
        <v>131.9</v>
      </c>
      <c r="AD105" s="72">
        <v>128.30000000000001</v>
      </c>
      <c r="AE105" s="72">
        <v>132.5</v>
      </c>
      <c r="AF105" s="72">
        <v>132.1</v>
      </c>
      <c r="AG105" s="111"/>
      <c r="AH105" s="52">
        <f t="shared" si="24"/>
        <v>135.9</v>
      </c>
      <c r="AI105" s="53">
        <f t="shared" si="25"/>
        <v>123.1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65.5</v>
      </c>
      <c r="C106" s="99">
        <v>65.5</v>
      </c>
      <c r="D106" s="99">
        <v>66.2</v>
      </c>
      <c r="E106" s="99">
        <v>66.8</v>
      </c>
      <c r="F106" s="99">
        <v>66.900000000000006</v>
      </c>
      <c r="G106" s="99">
        <v>66.900000000000006</v>
      </c>
      <c r="H106" s="99">
        <v>65.3</v>
      </c>
      <c r="I106" s="99">
        <v>65.3</v>
      </c>
      <c r="J106" s="99">
        <v>65.3</v>
      </c>
      <c r="K106" s="99">
        <v>65.3</v>
      </c>
      <c r="L106" s="99">
        <v>64.7</v>
      </c>
      <c r="M106" s="99">
        <v>64.2</v>
      </c>
      <c r="N106" s="99">
        <v>64.099999999999994</v>
      </c>
      <c r="O106" s="99">
        <v>63.6</v>
      </c>
      <c r="P106" s="99">
        <v>64.400000000000006</v>
      </c>
      <c r="Q106" s="99">
        <v>64.400000000000006</v>
      </c>
      <c r="R106" s="99">
        <v>64.599999999999994</v>
      </c>
      <c r="S106" s="99">
        <v>63.9</v>
      </c>
      <c r="T106" s="99">
        <v>64.099999999999994</v>
      </c>
      <c r="U106" s="99">
        <v>64</v>
      </c>
      <c r="V106" s="99">
        <v>64</v>
      </c>
      <c r="W106" s="99">
        <v>64</v>
      </c>
      <c r="X106" s="99">
        <v>64.900000000000006</v>
      </c>
      <c r="Y106" s="99">
        <v>64.900000000000006</v>
      </c>
      <c r="Z106" s="99">
        <v>64.900000000000006</v>
      </c>
      <c r="AA106" s="99">
        <v>64.900000000000006</v>
      </c>
      <c r="AB106" s="99">
        <v>65.599999999999994</v>
      </c>
      <c r="AC106" s="99">
        <v>65.8</v>
      </c>
      <c r="AD106" s="99">
        <v>65.3</v>
      </c>
      <c r="AE106" s="99">
        <v>65.7</v>
      </c>
      <c r="AF106" s="99">
        <v>65.8</v>
      </c>
      <c r="AG106" s="115"/>
      <c r="AH106" s="52">
        <f t="shared" si="24"/>
        <v>66.900000000000006</v>
      </c>
      <c r="AI106" s="53">
        <f t="shared" si="25"/>
        <v>63.6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24"/>
        <v>0</v>
      </c>
      <c r="AI107" s="53">
        <f t="shared" si="25"/>
        <v>0</v>
      </c>
    </row>
    <row r="108" spans="1:88" ht="15.75" thickBot="1" x14ac:dyDescent="0.3">
      <c r="A108" s="117" t="s">
        <v>116</v>
      </c>
      <c r="B108" s="118">
        <f t="shared" ref="B108:AF108" si="46">SUM(B18,B24,B27:B28,B56,B58:B59,B61,B63,B109:B113,B135,B141,B147,B156,B158,B170,B177,B180:B181,B188,B190,B192,B196:B198,B200:B202,B207,B213:B214,B216:B218,B226,B231)</f>
        <v>107.8</v>
      </c>
      <c r="C108" s="118">
        <f t="shared" si="46"/>
        <v>108.74</v>
      </c>
      <c r="D108" s="118">
        <f t="shared" si="46"/>
        <v>89.74</v>
      </c>
      <c r="E108" s="118">
        <f t="shared" si="46"/>
        <v>93.339999999999989</v>
      </c>
      <c r="F108" s="118">
        <f t="shared" si="46"/>
        <v>97.739999999999966</v>
      </c>
      <c r="G108" s="118">
        <f t="shared" ref="G108:H108" si="47">SUM(G18,G24,G27:G28,G56,G58:G59,G61,G63,G109:G113,G135,G141,G147,G156,G158,G170,G177,G180:G181,G188,G190,G192,G196:G198,G200:G202,G207,G213:G214,G216:G218,G226,G231)</f>
        <v>97.739999999999966</v>
      </c>
      <c r="H108" s="118">
        <f t="shared" si="47"/>
        <v>157.14000000000001</v>
      </c>
      <c r="I108" s="118">
        <f t="shared" si="46"/>
        <v>157.14000000000001</v>
      </c>
      <c r="J108" s="118">
        <f t="shared" si="46"/>
        <v>210.44</v>
      </c>
      <c r="K108" s="118">
        <f t="shared" si="46"/>
        <v>210.44</v>
      </c>
      <c r="L108" s="118">
        <f t="shared" si="46"/>
        <v>256.44</v>
      </c>
      <c r="M108" s="118">
        <f t="shared" si="46"/>
        <v>265.53999999999996</v>
      </c>
      <c r="N108" s="118">
        <f t="shared" si="46"/>
        <v>268.74</v>
      </c>
      <c r="O108" s="118">
        <f t="shared" si="46"/>
        <v>259.84000000000003</v>
      </c>
      <c r="P108" s="118">
        <v>42</v>
      </c>
      <c r="Q108" s="118">
        <f t="shared" si="46"/>
        <v>254.29999999999998</v>
      </c>
      <c r="R108" s="118">
        <f t="shared" si="46"/>
        <v>219.8</v>
      </c>
      <c r="S108" s="118">
        <f t="shared" si="46"/>
        <v>224.5</v>
      </c>
      <c r="T108" s="118">
        <f t="shared" si="46"/>
        <v>213.39999999999998</v>
      </c>
      <c r="U108" s="118">
        <f t="shared" si="46"/>
        <v>243.5</v>
      </c>
      <c r="V108" s="118">
        <f t="shared" ref="V108:W108" si="48">SUM(V18,V24,V27:V28,V56,V58:V59,V61,V63,V109:V113,V135,V141,V147,V156,V158,V170,V177,V180:V181,V188,V190,V192,V196:V198,V200:V202,V207,V213:V214,V216:V218,V226,V231)</f>
        <v>224.8</v>
      </c>
      <c r="W108" s="118">
        <f t="shared" si="48"/>
        <v>195.10000000000002</v>
      </c>
      <c r="X108" s="118">
        <f t="shared" si="46"/>
        <v>207.10000000000002</v>
      </c>
      <c r="Y108" s="118">
        <f t="shared" si="46"/>
        <v>235.00000000000003</v>
      </c>
      <c r="Z108" s="118">
        <f t="shared" si="46"/>
        <v>257.3</v>
      </c>
      <c r="AA108" s="118">
        <f t="shared" ref="AA108" si="49">SUM(AA18,AA24,AA27:AA28,AA56,AA58:AA59,AA61,AA63,AA109:AA113,AA135,AA141,AA147,AA156,AA158,AA170,AA177,AA180:AA181,AA188,AA190,AA192,AA196:AA198,AA200:AA202,AA207,AA213:AA214,AA216:AA218,AA226,AA231)</f>
        <v>277.40000000000003</v>
      </c>
      <c r="AB108" s="118">
        <f t="shared" si="46"/>
        <v>236.60000000000002</v>
      </c>
      <c r="AC108" s="118">
        <f t="shared" si="46"/>
        <v>239.9</v>
      </c>
      <c r="AD108" s="118">
        <f t="shared" si="46"/>
        <v>241.2</v>
      </c>
      <c r="AE108" s="118">
        <f t="shared" si="46"/>
        <v>176.20000000000002</v>
      </c>
      <c r="AF108" s="118">
        <f t="shared" si="46"/>
        <v>134</v>
      </c>
      <c r="AG108" s="119"/>
      <c r="AH108" s="52">
        <f t="shared" si="24"/>
        <v>277.40000000000003</v>
      </c>
      <c r="AI108" s="53">
        <f t="shared" si="25"/>
        <v>42</v>
      </c>
    </row>
    <row r="109" spans="1:88" x14ac:dyDescent="0.25">
      <c r="A109" s="107" t="s">
        <v>117</v>
      </c>
      <c r="B109" s="120">
        <v>5</v>
      </c>
      <c r="C109" s="120">
        <v>5</v>
      </c>
      <c r="D109" s="120">
        <v>8</v>
      </c>
      <c r="E109" s="120">
        <v>7.8</v>
      </c>
      <c r="F109" s="120">
        <v>6.1</v>
      </c>
      <c r="G109" s="120">
        <v>6.1</v>
      </c>
      <c r="H109" s="120">
        <v>9.1999999999999993</v>
      </c>
      <c r="I109" s="120">
        <v>9.1999999999999993</v>
      </c>
      <c r="J109" s="120">
        <v>27.2</v>
      </c>
      <c r="K109" s="120">
        <v>27.2</v>
      </c>
      <c r="L109" s="120">
        <v>11.6</v>
      </c>
      <c r="M109" s="120">
        <v>20.399999999999999</v>
      </c>
      <c r="N109" s="120">
        <v>10.6</v>
      </c>
      <c r="O109" s="120">
        <v>19</v>
      </c>
      <c r="P109" s="120">
        <v>23.8</v>
      </c>
      <c r="Q109" s="120">
        <v>17.5</v>
      </c>
      <c r="R109" s="120">
        <v>19.8</v>
      </c>
      <c r="S109" s="120">
        <v>20.100000000000001</v>
      </c>
      <c r="T109" s="120">
        <v>11.7</v>
      </c>
      <c r="U109" s="120">
        <v>20.399999999999999</v>
      </c>
      <c r="V109" s="120">
        <v>18</v>
      </c>
      <c r="W109" s="120">
        <v>16.3</v>
      </c>
      <c r="X109" s="120">
        <v>12.6</v>
      </c>
      <c r="Y109" s="120">
        <v>12.6</v>
      </c>
      <c r="Z109" s="120">
        <v>32.4</v>
      </c>
      <c r="AA109" s="120">
        <v>21.8</v>
      </c>
      <c r="AB109" s="120">
        <v>23.8</v>
      </c>
      <c r="AC109" s="120">
        <v>23.9</v>
      </c>
      <c r="AD109" s="120">
        <v>24.9</v>
      </c>
      <c r="AE109" s="120">
        <v>11.3</v>
      </c>
      <c r="AF109" s="120">
        <v>4.5999999999999996</v>
      </c>
      <c r="AG109" s="121">
        <v>75</v>
      </c>
      <c r="AH109" s="52">
        <f t="shared" si="24"/>
        <v>32.4</v>
      </c>
      <c r="AI109" s="53">
        <f t="shared" si="25"/>
        <v>4.5999999999999996</v>
      </c>
    </row>
    <row r="110" spans="1:88" x14ac:dyDescent="0.25">
      <c r="A110" s="110" t="s">
        <v>118</v>
      </c>
      <c r="B110" s="122">
        <v>0</v>
      </c>
      <c r="C110" s="122">
        <v>0</v>
      </c>
      <c r="D110" s="122">
        <v>3</v>
      </c>
      <c r="E110" s="122">
        <v>10</v>
      </c>
      <c r="F110" s="122">
        <v>13</v>
      </c>
      <c r="G110" s="122">
        <v>13</v>
      </c>
      <c r="H110" s="122">
        <v>16.8</v>
      </c>
      <c r="I110" s="122">
        <v>16.8</v>
      </c>
      <c r="J110" s="122">
        <v>40.5</v>
      </c>
      <c r="K110" s="122">
        <v>40.5</v>
      </c>
      <c r="L110" s="122">
        <v>15.5</v>
      </c>
      <c r="M110" s="122">
        <v>29.7</v>
      </c>
      <c r="N110" s="122">
        <v>15.5</v>
      </c>
      <c r="O110" s="122">
        <v>29.5</v>
      </c>
      <c r="P110" s="122">
        <v>36.299999999999997</v>
      </c>
      <c r="Q110" s="122">
        <v>27.6</v>
      </c>
      <c r="R110" s="122">
        <v>29.6</v>
      </c>
      <c r="S110" s="122">
        <v>28.8</v>
      </c>
      <c r="T110" s="122">
        <v>19.600000000000001</v>
      </c>
      <c r="U110" s="122">
        <v>31.7</v>
      </c>
      <c r="V110" s="122">
        <v>22.3</v>
      </c>
      <c r="W110" s="122">
        <v>22.3</v>
      </c>
      <c r="X110" s="122">
        <v>22.3</v>
      </c>
      <c r="Y110" s="122">
        <v>22.3</v>
      </c>
      <c r="Z110" s="122">
        <v>22.3</v>
      </c>
      <c r="AA110" s="122">
        <v>22.3</v>
      </c>
      <c r="AB110" s="122"/>
      <c r="AC110" s="122"/>
      <c r="AD110" s="122">
        <v>34.1</v>
      </c>
      <c r="AE110" s="122">
        <v>20</v>
      </c>
      <c r="AF110" s="122">
        <v>11.3</v>
      </c>
      <c r="AG110" s="121">
        <v>240</v>
      </c>
      <c r="AH110" s="52">
        <f t="shared" si="24"/>
        <v>40.5</v>
      </c>
      <c r="AI110" s="53">
        <f t="shared" si="25"/>
        <v>0</v>
      </c>
    </row>
    <row r="111" spans="1:88" x14ac:dyDescent="0.25">
      <c r="A111" s="110" t="s">
        <v>119</v>
      </c>
      <c r="B111" s="122">
        <v>-86</v>
      </c>
      <c r="C111" s="122">
        <v>-86</v>
      </c>
      <c r="D111" s="122">
        <v>-96</v>
      </c>
      <c r="E111" s="122">
        <f>-41.2-44</f>
        <v>-85.2</v>
      </c>
      <c r="F111" s="122">
        <f>-40.1-42.7</f>
        <v>-82.800000000000011</v>
      </c>
      <c r="G111" s="122">
        <f t="shared" ref="G111" si="50">-40.1-42.7</f>
        <v>-82.800000000000011</v>
      </c>
      <c r="H111" s="122">
        <f>-31.8-33.8</f>
        <v>-65.599999999999994</v>
      </c>
      <c r="I111" s="122">
        <f t="shared" ref="I111" si="51">-31.8-33.8</f>
        <v>-65.599999999999994</v>
      </c>
      <c r="J111" s="122">
        <f>-29.6-27.2</f>
        <v>-56.8</v>
      </c>
      <c r="K111" s="122">
        <f t="shared" ref="K111" si="52">-29.6-27.2</f>
        <v>-56.8</v>
      </c>
      <c r="L111" s="122">
        <f>-12.5-7.7</f>
        <v>-20.2</v>
      </c>
      <c r="M111" s="122">
        <v>-25</v>
      </c>
      <c r="N111" s="122">
        <v>-24</v>
      </c>
      <c r="O111" s="122">
        <v>-45.7</v>
      </c>
      <c r="P111" s="122">
        <v>-55.6</v>
      </c>
      <c r="Q111" s="122">
        <v>-30</v>
      </c>
      <c r="R111" s="122">
        <v>-56</v>
      </c>
      <c r="S111" s="122">
        <f>-35.7-21.2</f>
        <v>-56.900000000000006</v>
      </c>
      <c r="T111" s="122">
        <f>-44-19.8</f>
        <v>-63.8</v>
      </c>
      <c r="U111" s="122">
        <f>-15.2-19.6</f>
        <v>-34.799999999999997</v>
      </c>
      <c r="V111" s="122">
        <f t="shared" ref="V111" si="53">-15.2-19.6</f>
        <v>-34.799999999999997</v>
      </c>
      <c r="W111" s="122">
        <f>-45.5-21.9</f>
        <v>-67.400000000000006</v>
      </c>
      <c r="X111" s="122">
        <f>-44.4-15.2</f>
        <v>-59.599999999999994</v>
      </c>
      <c r="Y111" s="122">
        <f>-39-7</f>
        <v>-46</v>
      </c>
      <c r="Z111" s="122">
        <f>-33.4-8.9</f>
        <v>-42.3</v>
      </c>
      <c r="AA111" s="122">
        <f>-26.9+1</f>
        <v>-25.9</v>
      </c>
      <c r="AB111" s="122">
        <v>-30</v>
      </c>
      <c r="AC111" s="122">
        <v>-15</v>
      </c>
      <c r="AD111" s="122">
        <v>-39</v>
      </c>
      <c r="AE111" s="122">
        <v>-57</v>
      </c>
      <c r="AF111" s="122">
        <v>-75</v>
      </c>
      <c r="AG111" s="121">
        <v>240</v>
      </c>
      <c r="AH111" s="52">
        <f t="shared" si="24"/>
        <v>-15</v>
      </c>
      <c r="AI111" s="53">
        <f t="shared" si="25"/>
        <v>-96</v>
      </c>
    </row>
    <row r="112" spans="1:88" x14ac:dyDescent="0.25">
      <c r="A112" s="110" t="s">
        <v>120</v>
      </c>
      <c r="B112" s="122">
        <v>0</v>
      </c>
      <c r="C112" s="122">
        <v>0</v>
      </c>
      <c r="D112" s="122">
        <v>0</v>
      </c>
      <c r="E112" s="122">
        <v>0</v>
      </c>
      <c r="F112" s="122">
        <v>-2</v>
      </c>
      <c r="G112" s="122">
        <v>-2</v>
      </c>
      <c r="H112" s="122">
        <v>-6.1</v>
      </c>
      <c r="I112" s="122">
        <v>-6.1</v>
      </c>
      <c r="J112" s="122">
        <v>10.1</v>
      </c>
      <c r="K112" s="122">
        <v>10.1</v>
      </c>
      <c r="L112" s="122">
        <v>26</v>
      </c>
      <c r="M112" s="122">
        <v>22</v>
      </c>
      <c r="N112" s="122">
        <v>22.5</v>
      </c>
      <c r="O112" s="122">
        <v>24.9</v>
      </c>
      <c r="P112" s="122">
        <v>21</v>
      </c>
      <c r="Q112" s="122">
        <v>20</v>
      </c>
      <c r="R112" s="122">
        <v>14.6</v>
      </c>
      <c r="S112" s="122">
        <v>14.8</v>
      </c>
      <c r="T112" s="122">
        <v>25.5</v>
      </c>
      <c r="U112" s="122">
        <v>24.9</v>
      </c>
      <c r="V112" s="122">
        <v>24.9</v>
      </c>
      <c r="W112" s="122">
        <v>39.9</v>
      </c>
      <c r="X112" s="122">
        <v>40</v>
      </c>
      <c r="Y112" s="122">
        <v>43.7</v>
      </c>
      <c r="Z112" s="122">
        <v>43.7</v>
      </c>
      <c r="AA112" s="122">
        <v>50.8</v>
      </c>
      <c r="AB112" s="122">
        <v>31.6</v>
      </c>
      <c r="AC112" s="122">
        <v>30</v>
      </c>
      <c r="AD112" s="122">
        <v>22</v>
      </c>
      <c r="AE112" s="122">
        <v>16.2</v>
      </c>
      <c r="AF112" s="122">
        <v>2.2999999999999998</v>
      </c>
      <c r="AG112" s="121">
        <v>60</v>
      </c>
      <c r="AH112" s="52">
        <f t="shared" si="24"/>
        <v>50.8</v>
      </c>
      <c r="AI112" s="53">
        <f t="shared" si="25"/>
        <v>-6.1</v>
      </c>
    </row>
    <row r="113" spans="1:37" x14ac:dyDescent="0.25">
      <c r="A113" s="123" t="s">
        <v>121</v>
      </c>
      <c r="B113" s="124">
        <v>75</v>
      </c>
      <c r="C113" s="124">
        <v>75</v>
      </c>
      <c r="D113" s="124">
        <v>60</v>
      </c>
      <c r="E113" s="124">
        <v>46</v>
      </c>
      <c r="F113" s="124">
        <v>48.7</v>
      </c>
      <c r="G113" s="124">
        <v>48.7</v>
      </c>
      <c r="H113" s="124">
        <v>88.1</v>
      </c>
      <c r="I113" s="124">
        <v>88.1</v>
      </c>
      <c r="J113" s="124">
        <v>77.7</v>
      </c>
      <c r="K113" s="124">
        <v>77.7</v>
      </c>
      <c r="L113" s="124">
        <v>110.8</v>
      </c>
      <c r="M113" s="124">
        <v>96.8</v>
      </c>
      <c r="N113" s="124">
        <v>120</v>
      </c>
      <c r="O113" s="124">
        <v>104.2</v>
      </c>
      <c r="P113" s="124">
        <v>91.8</v>
      </c>
      <c r="Q113" s="124">
        <v>94</v>
      </c>
      <c r="R113" s="124">
        <v>87.9</v>
      </c>
      <c r="S113" s="124">
        <v>93.8</v>
      </c>
      <c r="T113" s="124">
        <v>96.5</v>
      </c>
      <c r="U113" s="124">
        <v>90.1</v>
      </c>
      <c r="V113" s="124">
        <v>90.1</v>
      </c>
      <c r="W113" s="124">
        <v>79.7</v>
      </c>
      <c r="X113" s="124">
        <v>87.5</v>
      </c>
      <c r="Y113" s="124">
        <v>98.1</v>
      </c>
      <c r="Z113" s="124">
        <v>98.1</v>
      </c>
      <c r="AA113" s="124">
        <v>105.3</v>
      </c>
      <c r="AB113" s="124">
        <v>107.2</v>
      </c>
      <c r="AC113" s="124">
        <v>97</v>
      </c>
      <c r="AD113" s="124">
        <v>95.2</v>
      </c>
      <c r="AE113" s="124">
        <v>78.2</v>
      </c>
      <c r="AF113" s="124">
        <v>83.3</v>
      </c>
      <c r="AG113" s="125">
        <v>120</v>
      </c>
      <c r="AH113" s="52">
        <f t="shared" si="24"/>
        <v>120</v>
      </c>
      <c r="AI113" s="53">
        <f t="shared" si="25"/>
        <v>46</v>
      </c>
    </row>
    <row r="114" spans="1:37" x14ac:dyDescent="0.25">
      <c r="A114" s="123" t="s">
        <v>122</v>
      </c>
      <c r="B114" s="124">
        <v>98</v>
      </c>
      <c r="C114" s="124">
        <v>98</v>
      </c>
      <c r="D114" s="124">
        <v>80</v>
      </c>
      <c r="E114" s="124">
        <v>75</v>
      </c>
      <c r="F114" s="124">
        <v>72.5</v>
      </c>
      <c r="G114" s="124">
        <v>72.5</v>
      </c>
      <c r="H114" s="124">
        <v>100.9</v>
      </c>
      <c r="I114" s="124">
        <v>100.9</v>
      </c>
      <c r="J114" s="124">
        <v>82.2</v>
      </c>
      <c r="K114" s="124">
        <v>82.2</v>
      </c>
      <c r="L114" s="124">
        <v>100.5</v>
      </c>
      <c r="M114" s="124">
        <v>79.8</v>
      </c>
      <c r="N114" s="124">
        <v>107.6</v>
      </c>
      <c r="O114" s="124">
        <v>105.7</v>
      </c>
      <c r="P114" s="124">
        <v>96.6</v>
      </c>
      <c r="Q114" s="124">
        <v>94</v>
      </c>
      <c r="R114" s="124">
        <v>92.4</v>
      </c>
      <c r="S114" s="124">
        <v>96.3</v>
      </c>
      <c r="T114" s="124">
        <v>93.2</v>
      </c>
      <c r="U114" s="124">
        <v>97.5</v>
      </c>
      <c r="V114" s="124">
        <v>97.5</v>
      </c>
      <c r="W114" s="124">
        <v>90.4</v>
      </c>
      <c r="X114" s="124">
        <v>96.4</v>
      </c>
      <c r="Y114" s="124">
        <v>95.5</v>
      </c>
      <c r="Z114" s="124">
        <v>95.5</v>
      </c>
      <c r="AA114" s="124">
        <v>96.5</v>
      </c>
      <c r="AB114" s="124">
        <v>98.2</v>
      </c>
      <c r="AC114" s="124">
        <v>105</v>
      </c>
      <c r="AD114" s="124">
        <v>91.3</v>
      </c>
      <c r="AE114" s="124">
        <v>96</v>
      </c>
      <c r="AF114" s="124">
        <v>102</v>
      </c>
      <c r="AG114" s="125"/>
      <c r="AH114" s="52">
        <f t="shared" si="24"/>
        <v>107.6</v>
      </c>
      <c r="AI114" s="53">
        <f t="shared" si="25"/>
        <v>72.5</v>
      </c>
    </row>
    <row r="115" spans="1:37" x14ac:dyDescent="0.25">
      <c r="A115" s="123" t="s">
        <v>123</v>
      </c>
      <c r="B115" s="124">
        <v>100</v>
      </c>
      <c r="C115" s="124">
        <v>100</v>
      </c>
      <c r="D115" s="124">
        <v>105</v>
      </c>
      <c r="E115" s="124">
        <v>105</v>
      </c>
      <c r="F115" s="124">
        <v>100</v>
      </c>
      <c r="G115" s="124">
        <v>100</v>
      </c>
      <c r="H115" s="124">
        <v>105</v>
      </c>
      <c r="I115" s="124">
        <v>90</v>
      </c>
      <c r="J115" s="124">
        <v>60</v>
      </c>
      <c r="K115" s="124">
        <v>60</v>
      </c>
      <c r="L115" s="124">
        <v>58.5</v>
      </c>
      <c r="M115" s="124">
        <v>34.5</v>
      </c>
      <c r="N115" s="124">
        <v>50.2</v>
      </c>
      <c r="O115" s="124">
        <v>40.200000000000003</v>
      </c>
      <c r="P115" s="124">
        <v>30.7</v>
      </c>
      <c r="Q115" s="124">
        <v>28</v>
      </c>
      <c r="R115" s="124">
        <v>25.4</v>
      </c>
      <c r="S115" s="124">
        <v>26.3</v>
      </c>
      <c r="T115" s="124">
        <v>52</v>
      </c>
      <c r="U115" s="124">
        <v>45.8</v>
      </c>
      <c r="V115" s="124">
        <v>45.8</v>
      </c>
      <c r="W115" s="124">
        <v>45.8</v>
      </c>
      <c r="X115" s="124">
        <v>42.9</v>
      </c>
      <c r="Y115" s="124">
        <v>43.9</v>
      </c>
      <c r="Z115" s="124">
        <v>43.9</v>
      </c>
      <c r="AA115" s="124">
        <v>44.4</v>
      </c>
      <c r="AB115" s="124">
        <v>43.3</v>
      </c>
      <c r="AC115" s="124">
        <v>47</v>
      </c>
      <c r="AD115" s="124">
        <v>41.5</v>
      </c>
      <c r="AE115" s="124">
        <v>55</v>
      </c>
      <c r="AF115" s="124"/>
      <c r="AG115" s="126"/>
      <c r="AH115" s="52">
        <f t="shared" si="24"/>
        <v>105</v>
      </c>
      <c r="AI115" s="53">
        <f t="shared" si="25"/>
        <v>25.4</v>
      </c>
    </row>
    <row r="116" spans="1:37" x14ac:dyDescent="0.25">
      <c r="A116" s="127" t="s">
        <v>124</v>
      </c>
      <c r="B116" s="113">
        <v>3</v>
      </c>
      <c r="C116" s="113">
        <v>3</v>
      </c>
      <c r="D116" s="113">
        <v>8</v>
      </c>
      <c r="E116" s="113">
        <v>8</v>
      </c>
      <c r="F116" s="113">
        <v>6.2</v>
      </c>
      <c r="G116" s="113">
        <v>6.2</v>
      </c>
      <c r="H116" s="113">
        <v>0</v>
      </c>
      <c r="I116" s="113">
        <v>0</v>
      </c>
      <c r="J116" s="113">
        <v>-7.4</v>
      </c>
      <c r="K116" s="113">
        <v>-7.4</v>
      </c>
      <c r="L116" s="113">
        <v>-13.8</v>
      </c>
      <c r="M116" s="113">
        <v>-16.600000000000001</v>
      </c>
      <c r="N116" s="113">
        <v>-19.600000000000001</v>
      </c>
      <c r="O116" s="113">
        <v>-18.100000000000001</v>
      </c>
      <c r="P116" s="113">
        <v>-18.5</v>
      </c>
      <c r="Q116" s="113">
        <v>-16</v>
      </c>
      <c r="R116" s="113">
        <v>-19.899999999999999</v>
      </c>
      <c r="S116" s="113">
        <v>-24.2</v>
      </c>
      <c r="T116" s="113">
        <v>26.6</v>
      </c>
      <c r="U116" s="113">
        <v>-30.8</v>
      </c>
      <c r="V116" s="113">
        <v>-30.8</v>
      </c>
      <c r="W116" s="113">
        <v>-28.6</v>
      </c>
      <c r="X116" s="113">
        <v>-29.2</v>
      </c>
      <c r="Y116" s="113">
        <v>-30.8</v>
      </c>
      <c r="Z116" s="113">
        <v>-30.8</v>
      </c>
      <c r="AA116" s="113">
        <v>-39.200000000000003</v>
      </c>
      <c r="AB116" s="113">
        <v>-33.1</v>
      </c>
      <c r="AC116" s="113">
        <v>-31</v>
      </c>
      <c r="AD116" s="113">
        <v>-31</v>
      </c>
      <c r="AE116" s="113">
        <v>-23</v>
      </c>
      <c r="AF116" s="113">
        <v>-15.2</v>
      </c>
      <c r="AG116" s="126"/>
      <c r="AH116" s="52">
        <f t="shared" si="24"/>
        <v>26.6</v>
      </c>
      <c r="AI116" s="53">
        <f t="shared" si="25"/>
        <v>-39.200000000000003</v>
      </c>
    </row>
    <row r="117" spans="1:37" ht="15.75" thickBot="1" x14ac:dyDescent="0.3">
      <c r="A117" s="127" t="s">
        <v>125</v>
      </c>
      <c r="B117" s="113">
        <v>79</v>
      </c>
      <c r="C117" s="113">
        <v>79</v>
      </c>
      <c r="D117" s="113">
        <v>70</v>
      </c>
      <c r="E117" s="113">
        <v>70</v>
      </c>
      <c r="F117" s="113">
        <v>71.2</v>
      </c>
      <c r="G117" s="113">
        <v>71.2</v>
      </c>
      <c r="H117" s="113">
        <v>71.5</v>
      </c>
      <c r="I117" s="113">
        <v>71.5</v>
      </c>
      <c r="J117" s="113">
        <v>89.6</v>
      </c>
      <c r="K117" s="113">
        <v>89.6</v>
      </c>
      <c r="L117" s="113">
        <v>89.3</v>
      </c>
      <c r="M117" s="113">
        <v>104.8</v>
      </c>
      <c r="N117" s="113">
        <v>103.9</v>
      </c>
      <c r="O117" s="113">
        <v>91.9</v>
      </c>
      <c r="P117" s="113">
        <v>107.5</v>
      </c>
      <c r="Q117" s="113">
        <v>109</v>
      </c>
      <c r="R117" s="113">
        <v>103.1</v>
      </c>
      <c r="S117" s="113">
        <v>104.6</v>
      </c>
      <c r="T117" s="113">
        <v>110.5</v>
      </c>
      <c r="U117" s="113">
        <v>104.6</v>
      </c>
      <c r="V117" s="113">
        <v>104.6</v>
      </c>
      <c r="W117" s="113">
        <v>107.1</v>
      </c>
      <c r="X117" s="113">
        <v>94.2</v>
      </c>
      <c r="Y117" s="113">
        <v>99.2</v>
      </c>
      <c r="Z117" s="113">
        <v>99.2</v>
      </c>
      <c r="AA117" s="113">
        <v>114.8</v>
      </c>
      <c r="AB117" s="113">
        <v>113.5</v>
      </c>
      <c r="AC117" s="113">
        <v>114</v>
      </c>
      <c r="AD117" s="113">
        <v>114</v>
      </c>
      <c r="AE117" s="113">
        <v>103</v>
      </c>
      <c r="AF117" s="113">
        <v>103</v>
      </c>
      <c r="AG117" s="126"/>
      <c r="AH117" s="52">
        <f t="shared" si="24"/>
        <v>114.8</v>
      </c>
      <c r="AI117" s="53">
        <f t="shared" si="25"/>
        <v>70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54">SUM(B119:B223)</f>
        <v>0</v>
      </c>
      <c r="C224" s="144">
        <f t="shared" si="54"/>
        <v>0</v>
      </c>
      <c r="D224" s="144">
        <f t="shared" si="54"/>
        <v>0</v>
      </c>
      <c r="E224" s="144">
        <f t="shared" si="54"/>
        <v>0</v>
      </c>
      <c r="F224" s="144">
        <f t="shared" si="54"/>
        <v>0</v>
      </c>
      <c r="G224" s="144">
        <f t="shared" si="54"/>
        <v>0</v>
      </c>
      <c r="H224" s="144">
        <f t="shared" si="54"/>
        <v>0</v>
      </c>
      <c r="I224" s="144">
        <f t="shared" si="54"/>
        <v>0</v>
      </c>
      <c r="J224" s="144">
        <f t="shared" si="54"/>
        <v>0</v>
      </c>
      <c r="K224" s="144">
        <f t="shared" si="54"/>
        <v>0</v>
      </c>
      <c r="L224" s="144">
        <f t="shared" si="54"/>
        <v>0</v>
      </c>
      <c r="M224" s="144">
        <f t="shared" si="54"/>
        <v>0</v>
      </c>
      <c r="N224" s="144">
        <f t="shared" si="54"/>
        <v>0</v>
      </c>
      <c r="O224" s="144">
        <f t="shared" si="54"/>
        <v>0</v>
      </c>
      <c r="P224" s="144">
        <f t="shared" si="54"/>
        <v>0</v>
      </c>
      <c r="Q224" s="144">
        <f t="shared" si="54"/>
        <v>0</v>
      </c>
      <c r="R224" s="144">
        <f t="shared" si="54"/>
        <v>0</v>
      </c>
      <c r="S224" s="144">
        <f t="shared" si="54"/>
        <v>0</v>
      </c>
      <c r="T224" s="144">
        <f t="shared" si="54"/>
        <v>0</v>
      </c>
      <c r="U224" s="144">
        <f t="shared" si="54"/>
        <v>0</v>
      </c>
      <c r="V224" s="144">
        <f t="shared" si="54"/>
        <v>0</v>
      </c>
      <c r="W224" s="144">
        <f t="shared" si="54"/>
        <v>0</v>
      </c>
      <c r="X224" s="144">
        <f t="shared" si="54"/>
        <v>0</v>
      </c>
      <c r="Y224" s="144">
        <f t="shared" si="54"/>
        <v>0</v>
      </c>
      <c r="Z224" s="144">
        <f t="shared" si="54"/>
        <v>0</v>
      </c>
      <c r="AA224" s="144">
        <f t="shared" si="54"/>
        <v>0</v>
      </c>
      <c r="AB224" s="144">
        <f t="shared" si="54"/>
        <v>0</v>
      </c>
      <c r="AC224" s="144">
        <f t="shared" si="54"/>
        <v>0</v>
      </c>
      <c r="AD224" s="144">
        <f t="shared" si="54"/>
        <v>0</v>
      </c>
      <c r="AE224" s="144">
        <f t="shared" si="54"/>
        <v>0</v>
      </c>
      <c r="AF224" s="145">
        <f t="shared" si="54"/>
        <v>0</v>
      </c>
      <c r="AG224" s="146">
        <f t="shared" si="54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55">AF226</f>
        <v>0</v>
      </c>
      <c r="C226" s="149">
        <v>0.3</v>
      </c>
      <c r="D226" s="149">
        <f t="shared" ref="D226:P231" si="56">C226</f>
        <v>0.3</v>
      </c>
      <c r="E226" s="149">
        <f t="shared" si="56"/>
        <v>0.3</v>
      </c>
      <c r="F226" s="149">
        <f t="shared" si="56"/>
        <v>0.3</v>
      </c>
      <c r="G226" s="149">
        <f t="shared" si="56"/>
        <v>0.3</v>
      </c>
      <c r="H226" s="149">
        <f t="shared" si="56"/>
        <v>0.3</v>
      </c>
      <c r="I226" s="149">
        <f t="shared" si="56"/>
        <v>0.3</v>
      </c>
      <c r="J226" s="149">
        <f t="shared" si="56"/>
        <v>0.3</v>
      </c>
      <c r="K226" s="149">
        <f t="shared" si="56"/>
        <v>0.3</v>
      </c>
      <c r="L226" s="149">
        <f t="shared" si="56"/>
        <v>0.3</v>
      </c>
      <c r="M226" s="149">
        <f t="shared" si="56"/>
        <v>0.3</v>
      </c>
      <c r="N226" s="149">
        <f t="shared" si="56"/>
        <v>0.3</v>
      </c>
      <c r="O226" s="149">
        <f t="shared" si="56"/>
        <v>0.3</v>
      </c>
      <c r="P226" s="149">
        <f t="shared" si="56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55"/>
        <v>0</v>
      </c>
      <c r="C227" s="136">
        <v>0.4</v>
      </c>
      <c r="D227" s="136">
        <f t="shared" si="56"/>
        <v>0.4</v>
      </c>
      <c r="E227" s="136">
        <f t="shared" si="56"/>
        <v>0.4</v>
      </c>
      <c r="F227" s="136">
        <f t="shared" si="56"/>
        <v>0.4</v>
      </c>
      <c r="G227" s="136">
        <f t="shared" si="56"/>
        <v>0.4</v>
      </c>
      <c r="H227" s="136">
        <f t="shared" si="56"/>
        <v>0.4</v>
      </c>
      <c r="I227" s="136">
        <f t="shared" si="56"/>
        <v>0.4</v>
      </c>
      <c r="J227" s="136">
        <f t="shared" si="56"/>
        <v>0.4</v>
      </c>
      <c r="K227" s="136">
        <f t="shared" si="56"/>
        <v>0.4</v>
      </c>
      <c r="L227" s="136">
        <f t="shared" si="56"/>
        <v>0.4</v>
      </c>
      <c r="M227" s="136">
        <f t="shared" si="56"/>
        <v>0.4</v>
      </c>
      <c r="N227" s="136">
        <f t="shared" si="56"/>
        <v>0.4</v>
      </c>
      <c r="O227" s="136">
        <f t="shared" si="56"/>
        <v>0.4</v>
      </c>
      <c r="P227" s="136">
        <f t="shared" si="56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55"/>
        <v>0</v>
      </c>
      <c r="C228" s="136">
        <v>1.5</v>
      </c>
      <c r="D228" s="136">
        <f t="shared" si="56"/>
        <v>1.5</v>
      </c>
      <c r="E228" s="136">
        <f t="shared" si="56"/>
        <v>1.5</v>
      </c>
      <c r="F228" s="136">
        <f t="shared" si="56"/>
        <v>1.5</v>
      </c>
      <c r="G228" s="136">
        <f t="shared" si="56"/>
        <v>1.5</v>
      </c>
      <c r="H228" s="136">
        <f t="shared" si="56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56"/>
        <v>1.5</v>
      </c>
      <c r="K228" s="136">
        <f t="shared" ca="1" si="56"/>
        <v>1.5</v>
      </c>
      <c r="L228" s="136">
        <f t="shared" ca="1" si="56"/>
        <v>1.5</v>
      </c>
      <c r="M228" s="136">
        <f t="shared" ca="1" si="56"/>
        <v>1.5</v>
      </c>
      <c r="N228" s="136">
        <f t="shared" ca="1" si="56"/>
        <v>1.5</v>
      </c>
      <c r="O228" s="136">
        <f t="shared" ca="1" si="56"/>
        <v>1.5</v>
      </c>
      <c r="P228" s="136">
        <f t="shared" ca="1" si="56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55"/>
        <v>0</v>
      </c>
      <c r="C229" s="136">
        <v>0.3</v>
      </c>
      <c r="D229" s="136">
        <f t="shared" si="56"/>
        <v>0.3</v>
      </c>
      <c r="E229" s="136">
        <f t="shared" si="56"/>
        <v>0.3</v>
      </c>
      <c r="F229" s="136">
        <f t="shared" si="56"/>
        <v>0.3</v>
      </c>
      <c r="G229" s="136">
        <f t="shared" si="56"/>
        <v>0.3</v>
      </c>
      <c r="H229" s="136">
        <f t="shared" si="56"/>
        <v>0.3</v>
      </c>
      <c r="I229" s="136">
        <f t="shared" si="56"/>
        <v>0.3</v>
      </c>
      <c r="J229" s="136">
        <f t="shared" si="56"/>
        <v>0.3</v>
      </c>
      <c r="K229" s="136">
        <f t="shared" si="56"/>
        <v>0.3</v>
      </c>
      <c r="L229" s="136">
        <f t="shared" si="56"/>
        <v>0.3</v>
      </c>
      <c r="M229" s="136">
        <f t="shared" si="56"/>
        <v>0.3</v>
      </c>
      <c r="N229" s="136">
        <f t="shared" si="56"/>
        <v>0.3</v>
      </c>
      <c r="O229" s="136">
        <f t="shared" si="56"/>
        <v>0.3</v>
      </c>
      <c r="P229" s="136">
        <f t="shared" si="56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55"/>
        <v>0</v>
      </c>
      <c r="C230" s="136">
        <v>0.4</v>
      </c>
      <c r="D230" s="136">
        <f t="shared" si="56"/>
        <v>0.4</v>
      </c>
      <c r="E230" s="136">
        <f t="shared" si="56"/>
        <v>0.4</v>
      </c>
      <c r="F230" s="136">
        <f t="shared" si="56"/>
        <v>0.4</v>
      </c>
      <c r="G230" s="136">
        <f t="shared" si="56"/>
        <v>0.4</v>
      </c>
      <c r="H230" s="136">
        <f t="shared" si="56"/>
        <v>0.4</v>
      </c>
      <c r="I230" s="136">
        <f t="shared" si="56"/>
        <v>0.4</v>
      </c>
      <c r="J230" s="136">
        <f t="shared" si="56"/>
        <v>0.4</v>
      </c>
      <c r="K230" s="136">
        <f t="shared" si="56"/>
        <v>0.4</v>
      </c>
      <c r="L230" s="136">
        <f t="shared" si="56"/>
        <v>0.4</v>
      </c>
      <c r="M230" s="136">
        <f t="shared" si="56"/>
        <v>0.4</v>
      </c>
      <c r="N230" s="136">
        <f t="shared" si="56"/>
        <v>0.4</v>
      </c>
      <c r="O230" s="136">
        <f t="shared" si="56"/>
        <v>0.4</v>
      </c>
      <c r="P230" s="136">
        <f t="shared" si="56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55"/>
        <v>0</v>
      </c>
      <c r="C231" s="140">
        <v>0.64</v>
      </c>
      <c r="D231" s="140">
        <f t="shared" si="56"/>
        <v>0.64</v>
      </c>
      <c r="E231" s="140">
        <f t="shared" si="56"/>
        <v>0.64</v>
      </c>
      <c r="F231" s="140">
        <f t="shared" si="56"/>
        <v>0.64</v>
      </c>
      <c r="G231" s="140">
        <f t="shared" si="56"/>
        <v>0.64</v>
      </c>
      <c r="H231" s="140">
        <f t="shared" si="56"/>
        <v>0.64</v>
      </c>
      <c r="I231" s="140">
        <f t="shared" si="56"/>
        <v>0.64</v>
      </c>
      <c r="J231" s="140">
        <f t="shared" si="56"/>
        <v>0.64</v>
      </c>
      <c r="K231" s="140">
        <f t="shared" si="56"/>
        <v>0.64</v>
      </c>
      <c r="L231" s="140">
        <f t="shared" si="56"/>
        <v>0.64</v>
      </c>
      <c r="M231" s="140">
        <f t="shared" si="56"/>
        <v>0.64</v>
      </c>
      <c r="N231" s="140">
        <f t="shared" si="56"/>
        <v>0.64</v>
      </c>
      <c r="O231" s="140">
        <f t="shared" si="56"/>
        <v>0.64</v>
      </c>
      <c r="P231" s="140">
        <f t="shared" si="56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57">SUM(B226:B231)</f>
        <v>0</v>
      </c>
      <c r="C232" s="144">
        <f t="shared" si="57"/>
        <v>3.54</v>
      </c>
      <c r="D232" s="144">
        <f t="shared" si="57"/>
        <v>3.54</v>
      </c>
      <c r="E232" s="144">
        <f t="shared" si="57"/>
        <v>3.54</v>
      </c>
      <c r="F232" s="144">
        <f t="shared" si="57"/>
        <v>3.54</v>
      </c>
      <c r="G232" s="144">
        <f t="shared" si="57"/>
        <v>3.54</v>
      </c>
      <c r="H232" s="144">
        <f t="shared" si="57"/>
        <v>3.54</v>
      </c>
      <c r="I232" s="144">
        <f t="shared" ca="1" si="57"/>
        <v>3.54</v>
      </c>
      <c r="J232" s="144">
        <f t="shared" ca="1" si="57"/>
        <v>3.54</v>
      </c>
      <c r="K232" s="144">
        <f t="shared" ca="1" si="57"/>
        <v>3.54</v>
      </c>
      <c r="L232" s="144">
        <f t="shared" ca="1" si="57"/>
        <v>3.54</v>
      </c>
      <c r="M232" s="144">
        <f t="shared" ca="1" si="57"/>
        <v>3.54</v>
      </c>
      <c r="N232" s="144">
        <f t="shared" ca="1" si="57"/>
        <v>3.54</v>
      </c>
      <c r="O232" s="144">
        <f t="shared" ca="1" si="57"/>
        <v>3.54</v>
      </c>
      <c r="P232" s="144">
        <f t="shared" ca="1" si="57"/>
        <v>3.54</v>
      </c>
      <c r="Q232" s="144">
        <f t="shared" si="57"/>
        <v>0</v>
      </c>
      <c r="R232" s="144">
        <f t="shared" si="57"/>
        <v>0</v>
      </c>
      <c r="S232" s="144">
        <f t="shared" si="57"/>
        <v>0</v>
      </c>
      <c r="T232" s="144">
        <f t="shared" si="57"/>
        <v>0</v>
      </c>
      <c r="U232" s="144">
        <f t="shared" si="57"/>
        <v>0</v>
      </c>
      <c r="V232" s="144">
        <f t="shared" si="57"/>
        <v>0</v>
      </c>
      <c r="W232" s="144">
        <f t="shared" si="57"/>
        <v>0</v>
      </c>
      <c r="X232" s="144">
        <f t="shared" si="57"/>
        <v>0</v>
      </c>
      <c r="Y232" s="144">
        <f t="shared" si="57"/>
        <v>0</v>
      </c>
      <c r="Z232" s="144">
        <f t="shared" si="57"/>
        <v>0</v>
      </c>
      <c r="AA232" s="144">
        <f t="shared" si="57"/>
        <v>0</v>
      </c>
      <c r="AB232" s="144">
        <f t="shared" si="57"/>
        <v>0</v>
      </c>
      <c r="AC232" s="144">
        <f t="shared" si="57"/>
        <v>0</v>
      </c>
      <c r="AD232" s="144">
        <f t="shared" si="57"/>
        <v>0</v>
      </c>
      <c r="AE232" s="144">
        <f t="shared" si="57"/>
        <v>0</v>
      </c>
      <c r="AF232" s="144">
        <f t="shared" si="57"/>
        <v>0</v>
      </c>
      <c r="AG232" s="154">
        <f t="shared" si="57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1486.74</v>
      </c>
      <c r="C241" s="170">
        <f>INDEX(G9:N9,1,MATCH(MAX(G89:N89),G89:N89,0))</f>
        <v>0.3125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22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2079/12/22)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2079/12/22)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58">B89</f>
        <v>1218.24</v>
      </c>
      <c r="U246" s="180">
        <f t="shared" si="58"/>
        <v>1224.8399999999999</v>
      </c>
      <c r="V246" s="180">
        <f t="shared" si="58"/>
        <v>1194.8399999999999</v>
      </c>
      <c r="W246" s="180">
        <f t="shared" si="58"/>
        <v>1194.8399999999999</v>
      </c>
      <c r="X246" s="180">
        <f t="shared" si="58"/>
        <v>1179.8399999999999</v>
      </c>
      <c r="Y246" s="180">
        <f t="shared" si="58"/>
        <v>1208.8399999999999</v>
      </c>
      <c r="Z246" s="180">
        <f t="shared" si="58"/>
        <v>1311.94</v>
      </c>
      <c r="AA246" s="180">
        <f t="shared" si="58"/>
        <v>1321.94</v>
      </c>
      <c r="AB246" s="180">
        <f t="shared" si="58"/>
        <v>1373.84</v>
      </c>
      <c r="AC246" s="180">
        <f t="shared" si="58"/>
        <v>1375.84</v>
      </c>
      <c r="AD246" s="180">
        <f t="shared" si="58"/>
        <v>1486.74</v>
      </c>
      <c r="AE246" s="180">
        <f t="shared" si="58"/>
        <v>1465.44</v>
      </c>
      <c r="AF246" s="180">
        <f t="shared" si="58"/>
        <v>1478.54</v>
      </c>
      <c r="AG246" s="180">
        <f t="shared" si="58"/>
        <v>1478.14</v>
      </c>
      <c r="AH246" s="180">
        <f t="shared" si="58"/>
        <v>1425.94</v>
      </c>
      <c r="AI246" s="180">
        <f t="shared" si="58"/>
        <v>1413.1399999999999</v>
      </c>
      <c r="AJ246" s="180">
        <f t="shared" si="58"/>
        <v>1444.04</v>
      </c>
      <c r="AK246" s="180">
        <f t="shared" si="58"/>
        <v>1450.84</v>
      </c>
      <c r="AL246" s="180">
        <f t="shared" si="58"/>
        <v>1455.84</v>
      </c>
      <c r="AM246" s="180">
        <f t="shared" si="58"/>
        <v>1469.44</v>
      </c>
      <c r="AN246" s="180">
        <f t="shared" si="58"/>
        <v>1426.94</v>
      </c>
      <c r="AO246" s="180">
        <f t="shared" si="58"/>
        <v>1422.24</v>
      </c>
      <c r="AP246" s="180">
        <f t="shared" si="58"/>
        <v>1371.34</v>
      </c>
      <c r="AQ246" s="180">
        <f t="shared" si="58"/>
        <v>1541.34</v>
      </c>
      <c r="AR246" s="180">
        <f t="shared" si="58"/>
        <v>1689.1399999999999</v>
      </c>
      <c r="AS246" s="180">
        <f t="shared" si="58"/>
        <v>1713.1399999999999</v>
      </c>
      <c r="AT246" s="180">
        <f t="shared" si="58"/>
        <v>1673.54</v>
      </c>
      <c r="AU246" s="180">
        <f t="shared" si="58"/>
        <v>1640.44</v>
      </c>
      <c r="AV246" s="180">
        <f t="shared" si="58"/>
        <v>1636.44</v>
      </c>
      <c r="AW246" s="180">
        <f t="shared" si="58"/>
        <v>1418.24</v>
      </c>
      <c r="AX246" s="180">
        <f t="shared" si="58"/>
        <v>1393.04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59">C231</f>
        <v>0.64</v>
      </c>
      <c r="C267" s="183">
        <f t="shared" si="59"/>
        <v>0.64</v>
      </c>
      <c r="D267" s="183">
        <f t="shared" si="59"/>
        <v>0.64</v>
      </c>
      <c r="E267" s="183">
        <f t="shared" si="59"/>
        <v>0.64</v>
      </c>
      <c r="F267" s="183">
        <f t="shared" si="59"/>
        <v>0.64</v>
      </c>
      <c r="G267" s="183">
        <f t="shared" si="59"/>
        <v>0.64</v>
      </c>
      <c r="H267" s="183">
        <f t="shared" si="59"/>
        <v>0.64</v>
      </c>
      <c r="I267" s="183">
        <f t="shared" si="59"/>
        <v>0.64</v>
      </c>
      <c r="J267" s="183">
        <f t="shared" si="59"/>
        <v>0.64</v>
      </c>
      <c r="K267" s="183">
        <f t="shared" si="59"/>
        <v>0.64</v>
      </c>
      <c r="L267" s="183">
        <f t="shared" si="59"/>
        <v>0.64</v>
      </c>
      <c r="M267" s="183">
        <f t="shared" si="59"/>
        <v>0.64</v>
      </c>
      <c r="N267" s="183">
        <f t="shared" si="59"/>
        <v>0.64</v>
      </c>
      <c r="O267" s="183">
        <f t="shared" si="59"/>
        <v>0.64</v>
      </c>
      <c r="P267" s="183">
        <f t="shared" si="59"/>
        <v>0</v>
      </c>
      <c r="Q267" s="183">
        <f t="shared" si="59"/>
        <v>0</v>
      </c>
      <c r="R267" s="183">
        <f t="shared" si="59"/>
        <v>0</v>
      </c>
      <c r="S267" s="183">
        <f t="shared" si="59"/>
        <v>0</v>
      </c>
      <c r="T267" s="183">
        <f t="shared" si="59"/>
        <v>0</v>
      </c>
      <c r="U267" s="183">
        <f t="shared" si="59"/>
        <v>0</v>
      </c>
      <c r="V267" s="183">
        <f t="shared" si="59"/>
        <v>0</v>
      </c>
      <c r="W267" s="183">
        <f t="shared" si="59"/>
        <v>0</v>
      </c>
      <c r="X267" s="183">
        <f t="shared" si="59"/>
        <v>0</v>
      </c>
      <c r="Y267" s="183">
        <f t="shared" si="59"/>
        <v>0</v>
      </c>
      <c r="Z267" s="183">
        <f t="shared" si="59"/>
        <v>0</v>
      </c>
      <c r="AA267" s="183">
        <f t="shared" si="59"/>
        <v>0</v>
      </c>
      <c r="AB267" s="183">
        <f t="shared" si="59"/>
        <v>0</v>
      </c>
      <c r="AC267" s="183">
        <f t="shared" si="59"/>
        <v>0</v>
      </c>
      <c r="AD267" s="183">
        <f t="shared" si="59"/>
        <v>0</v>
      </c>
      <c r="AE267" s="183">
        <f t="shared" si="59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60">IF(B235&lt;100,"",B235-520)</f>
        <v/>
      </c>
      <c r="C268" s="184" t="str">
        <f t="shared" si="60"/>
        <v/>
      </c>
      <c r="D268" s="184" t="str">
        <f t="shared" si="60"/>
        <v/>
      </c>
      <c r="E268" s="184" t="str">
        <f t="shared" si="60"/>
        <v/>
      </c>
      <c r="F268" s="184" t="str">
        <f t="shared" si="60"/>
        <v/>
      </c>
      <c r="G268" s="184" t="str">
        <f t="shared" si="60"/>
        <v/>
      </c>
      <c r="H268" s="184" t="str">
        <f t="shared" si="60"/>
        <v/>
      </c>
      <c r="I268" s="184" t="str">
        <f t="shared" si="60"/>
        <v/>
      </c>
      <c r="J268" s="184" t="str">
        <f t="shared" si="60"/>
        <v/>
      </c>
      <c r="K268" s="184" t="str">
        <f t="shared" si="60"/>
        <v/>
      </c>
      <c r="L268" s="184" t="str">
        <f t="shared" si="60"/>
        <v/>
      </c>
      <c r="M268" s="184" t="str">
        <f t="shared" si="60"/>
        <v/>
      </c>
      <c r="N268" s="184" t="str">
        <f t="shared" si="60"/>
        <v/>
      </c>
      <c r="O268" s="184" t="str">
        <f t="shared" si="60"/>
        <v/>
      </c>
      <c r="P268" s="184" t="str">
        <f t="shared" si="60"/>
        <v/>
      </c>
      <c r="Q268" s="184" t="str">
        <f t="shared" si="60"/>
        <v/>
      </c>
      <c r="R268" s="184" t="str">
        <f t="shared" si="60"/>
        <v/>
      </c>
      <c r="S268" s="184" t="str">
        <f t="shared" si="60"/>
        <v/>
      </c>
      <c r="T268" s="184" t="str">
        <f t="shared" si="60"/>
        <v/>
      </c>
      <c r="U268" s="184" t="str">
        <f t="shared" si="60"/>
        <v/>
      </c>
      <c r="V268" s="184" t="str">
        <f t="shared" si="60"/>
        <v/>
      </c>
      <c r="W268" s="184" t="str">
        <f t="shared" si="60"/>
        <v/>
      </c>
      <c r="X268" s="184" t="str">
        <f t="shared" si="60"/>
        <v/>
      </c>
      <c r="Y268" s="184" t="str">
        <f t="shared" si="60"/>
        <v/>
      </c>
      <c r="Z268" s="184" t="str">
        <f t="shared" si="60"/>
        <v/>
      </c>
      <c r="AA268" s="184" t="str">
        <f t="shared" si="60"/>
        <v/>
      </c>
      <c r="AB268" s="184" t="str">
        <f t="shared" si="60"/>
        <v/>
      </c>
      <c r="AC268" s="184" t="str">
        <f t="shared" si="60"/>
        <v/>
      </c>
      <c r="AD268" s="184" t="str">
        <f t="shared" si="60"/>
        <v/>
      </c>
      <c r="AE268" s="184" t="str">
        <f t="shared" si="60"/>
        <v/>
      </c>
      <c r="AF268" s="184" t="str">
        <f t="shared" si="60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61">IF(B236&lt;100,"",B236-620)</f>
        <v/>
      </c>
      <c r="C269" s="184" t="str">
        <f t="shared" si="61"/>
        <v/>
      </c>
      <c r="D269" s="184" t="str">
        <f t="shared" si="61"/>
        <v/>
      </c>
      <c r="E269" s="184" t="str">
        <f t="shared" si="61"/>
        <v/>
      </c>
      <c r="F269" s="184" t="str">
        <f t="shared" si="61"/>
        <v/>
      </c>
      <c r="G269" s="184" t="str">
        <f t="shared" si="61"/>
        <v/>
      </c>
      <c r="H269" s="184" t="str">
        <f t="shared" si="61"/>
        <v/>
      </c>
      <c r="I269" s="184" t="str">
        <f t="shared" si="61"/>
        <v/>
      </c>
      <c r="J269" s="184" t="str">
        <f t="shared" si="61"/>
        <v/>
      </c>
      <c r="K269" s="184" t="str">
        <f t="shared" si="61"/>
        <v/>
      </c>
      <c r="L269" s="184" t="str">
        <f t="shared" si="61"/>
        <v/>
      </c>
      <c r="M269" s="184" t="str">
        <f t="shared" si="61"/>
        <v/>
      </c>
      <c r="N269" s="184" t="str">
        <f t="shared" si="61"/>
        <v/>
      </c>
      <c r="O269" s="184" t="str">
        <f t="shared" si="61"/>
        <v/>
      </c>
      <c r="P269" s="184" t="str">
        <f t="shared" si="61"/>
        <v/>
      </c>
      <c r="Q269" s="184" t="str">
        <f t="shared" si="61"/>
        <v/>
      </c>
      <c r="R269" s="184" t="str">
        <f t="shared" si="61"/>
        <v/>
      </c>
      <c r="S269" s="184" t="str">
        <f t="shared" si="61"/>
        <v/>
      </c>
      <c r="T269" s="184" t="str">
        <f t="shared" si="61"/>
        <v/>
      </c>
      <c r="U269" s="184" t="str">
        <f t="shared" si="61"/>
        <v/>
      </c>
      <c r="V269" s="184" t="str">
        <f t="shared" si="61"/>
        <v/>
      </c>
      <c r="W269" s="184" t="str">
        <f t="shared" si="61"/>
        <v/>
      </c>
      <c r="X269" s="184" t="str">
        <f t="shared" si="61"/>
        <v/>
      </c>
      <c r="Y269" s="184" t="str">
        <f t="shared" si="61"/>
        <v/>
      </c>
      <c r="Z269" s="184" t="str">
        <f t="shared" si="61"/>
        <v/>
      </c>
      <c r="AA269" s="184" t="str">
        <f t="shared" si="61"/>
        <v/>
      </c>
      <c r="AB269" s="184" t="str">
        <f t="shared" si="61"/>
        <v/>
      </c>
      <c r="AC269" s="184" t="str">
        <f t="shared" si="61"/>
        <v/>
      </c>
      <c r="AD269" s="184" t="str">
        <f t="shared" si="61"/>
        <v/>
      </c>
      <c r="AE269" s="184" t="str">
        <f t="shared" si="61"/>
        <v/>
      </c>
      <c r="AF269" s="184" t="str">
        <f t="shared" si="61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62">IF(B237&lt;100,"",B237-330)</f>
        <v/>
      </c>
      <c r="C270" s="184" t="str">
        <f t="shared" si="62"/>
        <v/>
      </c>
      <c r="D270" s="184" t="str">
        <f t="shared" si="62"/>
        <v/>
      </c>
      <c r="E270" s="184" t="str">
        <f t="shared" si="62"/>
        <v/>
      </c>
      <c r="F270" s="184" t="str">
        <f t="shared" si="62"/>
        <v/>
      </c>
      <c r="G270" s="184" t="str">
        <f t="shared" si="62"/>
        <v/>
      </c>
      <c r="H270" s="184" t="str">
        <f t="shared" si="62"/>
        <v/>
      </c>
      <c r="I270" s="184" t="str">
        <f t="shared" si="62"/>
        <v/>
      </c>
      <c r="J270" s="184" t="str">
        <f t="shared" si="62"/>
        <v/>
      </c>
      <c r="K270" s="184" t="str">
        <f t="shared" si="62"/>
        <v/>
      </c>
      <c r="L270" s="184" t="str">
        <f t="shared" si="62"/>
        <v/>
      </c>
      <c r="M270" s="184" t="str">
        <f t="shared" si="62"/>
        <v/>
      </c>
      <c r="N270" s="184" t="str">
        <f t="shared" si="62"/>
        <v/>
      </c>
      <c r="O270" s="184" t="str">
        <f t="shared" si="62"/>
        <v/>
      </c>
      <c r="P270" s="184" t="str">
        <f t="shared" si="62"/>
        <v/>
      </c>
      <c r="Q270" s="184" t="str">
        <f t="shared" si="62"/>
        <v/>
      </c>
      <c r="R270" s="184" t="str">
        <f t="shared" si="62"/>
        <v/>
      </c>
      <c r="S270" s="184" t="str">
        <f t="shared" si="62"/>
        <v/>
      </c>
      <c r="T270" s="184" t="str">
        <f t="shared" si="62"/>
        <v/>
      </c>
      <c r="U270" s="184" t="str">
        <f t="shared" si="62"/>
        <v/>
      </c>
      <c r="V270" s="184" t="str">
        <f t="shared" si="62"/>
        <v/>
      </c>
      <c r="W270" s="184" t="str">
        <f t="shared" si="62"/>
        <v/>
      </c>
      <c r="X270" s="184" t="str">
        <f t="shared" si="62"/>
        <v/>
      </c>
      <c r="Y270" s="184" t="str">
        <f t="shared" si="62"/>
        <v/>
      </c>
      <c r="Z270" s="184" t="str">
        <f t="shared" si="62"/>
        <v/>
      </c>
      <c r="AA270" s="184" t="str">
        <f t="shared" si="62"/>
        <v/>
      </c>
      <c r="AB270" s="184" t="str">
        <f t="shared" si="62"/>
        <v/>
      </c>
      <c r="AC270" s="184" t="str">
        <f t="shared" si="62"/>
        <v/>
      </c>
      <c r="AD270" s="184" t="str">
        <f t="shared" si="62"/>
        <v/>
      </c>
      <c r="AE270" s="184" t="str">
        <f t="shared" si="62"/>
        <v/>
      </c>
      <c r="AF270" s="184" t="str">
        <f t="shared" si="62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63">IF(B238&lt;100,"",B238-1500)</f>
        <v/>
      </c>
      <c r="C271" s="184" t="str">
        <f t="shared" si="63"/>
        <v/>
      </c>
      <c r="D271" s="184" t="str">
        <f t="shared" si="63"/>
        <v/>
      </c>
      <c r="E271" s="184" t="str">
        <f t="shared" si="63"/>
        <v/>
      </c>
      <c r="F271" s="184" t="str">
        <f t="shared" si="63"/>
        <v/>
      </c>
      <c r="G271" s="184" t="str">
        <f t="shared" si="63"/>
        <v/>
      </c>
      <c r="H271" s="184" t="str">
        <f t="shared" si="63"/>
        <v/>
      </c>
      <c r="I271" s="184" t="str">
        <f t="shared" si="63"/>
        <v/>
      </c>
      <c r="J271" s="184" t="str">
        <f t="shared" si="63"/>
        <v/>
      </c>
      <c r="K271" s="184" t="str">
        <f t="shared" si="63"/>
        <v/>
      </c>
      <c r="L271" s="184" t="str">
        <f t="shared" si="63"/>
        <v/>
      </c>
      <c r="M271" s="184" t="str">
        <f t="shared" si="63"/>
        <v/>
      </c>
      <c r="N271" s="184" t="str">
        <f t="shared" si="63"/>
        <v/>
      </c>
      <c r="O271" s="184" t="str">
        <f t="shared" si="63"/>
        <v/>
      </c>
      <c r="P271" s="184" t="str">
        <f t="shared" si="63"/>
        <v/>
      </c>
      <c r="Q271" s="184" t="str">
        <f t="shared" si="63"/>
        <v/>
      </c>
      <c r="R271" s="184" t="str">
        <f t="shared" si="63"/>
        <v/>
      </c>
      <c r="S271" s="184" t="str">
        <f t="shared" si="63"/>
        <v/>
      </c>
      <c r="T271" s="184" t="str">
        <f t="shared" si="63"/>
        <v/>
      </c>
      <c r="U271" s="184" t="str">
        <f t="shared" si="63"/>
        <v/>
      </c>
      <c r="V271" s="184" t="str">
        <f t="shared" si="63"/>
        <v/>
      </c>
      <c r="W271" s="184" t="str">
        <f t="shared" si="63"/>
        <v/>
      </c>
      <c r="X271" s="184" t="str">
        <f t="shared" si="63"/>
        <v/>
      </c>
      <c r="Y271" s="184" t="str">
        <f t="shared" si="63"/>
        <v/>
      </c>
      <c r="Z271" s="184" t="str">
        <f t="shared" si="63"/>
        <v/>
      </c>
      <c r="AA271" s="184" t="str">
        <f t="shared" si="63"/>
        <v/>
      </c>
      <c r="AB271" s="184" t="str">
        <f t="shared" si="63"/>
        <v/>
      </c>
      <c r="AC271" s="184" t="str">
        <f t="shared" si="63"/>
        <v/>
      </c>
      <c r="AD271" s="184" t="str">
        <f t="shared" si="63"/>
        <v/>
      </c>
      <c r="AE271" s="184" t="str">
        <f t="shared" si="63"/>
        <v/>
      </c>
      <c r="AF271" s="184" t="str">
        <f t="shared" si="63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2429" priority="339">
      <formula>B$9&gt;=20/24</formula>
    </cfRule>
    <cfRule type="expression" dxfId="2428" priority="340">
      <formula>AND(B$9&gt;=14/24,B$9&lt;20/24)</formula>
    </cfRule>
    <cfRule type="expression" dxfId="2427" priority="341">
      <formula>AND(B$9&gt;=8/24,B$9&lt;14/24)</formula>
    </cfRule>
    <cfRule type="expression" dxfId="2426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2425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2424" priority="336">
      <formula>$AH12=0</formula>
    </cfRule>
  </conditionalFormatting>
  <conditionalFormatting sqref="A114">
    <cfRule type="expression" dxfId="2423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2422" priority="333">
      <formula>$AH45=0</formula>
    </cfRule>
  </conditionalFormatting>
  <conditionalFormatting sqref="A98">
    <cfRule type="expression" dxfId="2421" priority="332">
      <formula>$AH98=0</formula>
    </cfRule>
  </conditionalFormatting>
  <conditionalFormatting sqref="A18">
    <cfRule type="expression" dxfId="2420" priority="331">
      <formula>$AH18=0</formula>
    </cfRule>
  </conditionalFormatting>
  <conditionalFormatting sqref="A196:A201">
    <cfRule type="expression" dxfId="2419" priority="330">
      <formula>$AH196=0</formula>
    </cfRule>
  </conditionalFormatting>
  <conditionalFormatting sqref="A190:A195">
    <cfRule type="expression" dxfId="2418" priority="329">
      <formula>$AH190=0</formula>
    </cfRule>
  </conditionalFormatting>
  <conditionalFormatting sqref="A58">
    <cfRule type="expression" dxfId="2417" priority="328">
      <formula>$AH58=0</formula>
    </cfRule>
  </conditionalFormatting>
  <conditionalFormatting sqref="A94">
    <cfRule type="expression" dxfId="2416" priority="327">
      <formula>$AH94=0</formula>
    </cfRule>
  </conditionalFormatting>
  <conditionalFormatting sqref="AD99:AF99 F99:X99">
    <cfRule type="expression" dxfId="2415" priority="323">
      <formula>F$9&gt;=20/24</formula>
    </cfRule>
    <cfRule type="expression" dxfId="2414" priority="324">
      <formula>AND(F$9&gt;=14/24,F$9&lt;20/24)</formula>
    </cfRule>
    <cfRule type="expression" dxfId="2413" priority="325">
      <formula>AND(F$9&gt;=8/24,F$9&lt;14/24)</formula>
    </cfRule>
    <cfRule type="expression" dxfId="2412" priority="326">
      <formula>F$9&lt;8/24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411" priority="345">
      <formula>C$9&gt;=20/24</formula>
    </cfRule>
    <cfRule type="expression" dxfId="2410" priority="346">
      <formula>AND(C$9&gt;=14/24,C$9&lt;20/24)</formula>
    </cfRule>
    <cfRule type="expression" dxfId="2409" priority="347">
      <formula>AND(C$9&gt;=8/24,C$9&lt;14/24)</formula>
    </cfRule>
    <cfRule type="expression" dxfId="2408" priority="348">
      <formula>C$9&lt;8/24</formula>
    </cfRule>
  </conditionalFormatting>
  <conditionalFormatting sqref="A233">
    <cfRule type="expression" dxfId="2407" priority="349">
      <formula>$AH233=0</formula>
    </cfRule>
  </conditionalFormatting>
  <conditionalFormatting sqref="AG245">
    <cfRule type="expression" dxfId="2406" priority="350">
      <formula>B$9&gt;=20/24</formula>
    </cfRule>
    <cfRule type="expression" dxfId="2405" priority="351">
      <formula>AND(B$9&gt;=14/24,B$9&lt;20/24)</formula>
    </cfRule>
    <cfRule type="expression" dxfId="2404" priority="352">
      <formula>AND(B$9&gt;=8/24,B$9&lt;14/24)</formula>
    </cfRule>
    <cfRule type="expression" dxfId="2403" priority="353">
      <formula>B$9&lt;8/24</formula>
    </cfRule>
  </conditionalFormatting>
  <conditionalFormatting sqref="S8">
    <cfRule type="expression" dxfId="2402" priority="318">
      <formula>U$9&gt;=20/24</formula>
    </cfRule>
    <cfRule type="expression" dxfId="2401" priority="319">
      <formula>AND(U$9&gt;=14/24,U$9&lt;20/24)</formula>
    </cfRule>
    <cfRule type="expression" dxfId="2400" priority="320">
      <formula>AND(U$9&gt;=8/24,U$9&lt;14/24)</formula>
    </cfRule>
    <cfRule type="expression" dxfId="2399" priority="321">
      <formula>U$9&lt;8/24</formula>
    </cfRule>
  </conditionalFormatting>
  <conditionalFormatting sqref="AB8">
    <cfRule type="expression" dxfId="2398" priority="314">
      <formula>AD$9&gt;=20/24</formula>
    </cfRule>
    <cfRule type="expression" dxfId="2397" priority="315">
      <formula>AND(AD$9&gt;=14/24,AD$9&lt;20/24)</formula>
    </cfRule>
    <cfRule type="expression" dxfId="2396" priority="316">
      <formula>AND(AD$9&gt;=8/24,AD$9&lt;14/24)</formula>
    </cfRule>
    <cfRule type="expression" dxfId="2395" priority="317">
      <formula>AD$9&lt;8/24</formula>
    </cfRule>
  </conditionalFormatting>
  <conditionalFormatting sqref="AH245:AX245">
    <cfRule type="expression" dxfId="2394" priority="354">
      <formula>AG$9&gt;=20/24</formula>
    </cfRule>
    <cfRule type="expression" dxfId="2393" priority="355">
      <formula>AND(AG$9&gt;=14/24,AG$9&lt;20/24)</formula>
    </cfRule>
    <cfRule type="expression" dxfId="2392" priority="356">
      <formula>AND(AG$9&gt;=8/24,AG$9&lt;14/24)</formula>
    </cfRule>
    <cfRule type="expression" dxfId="2391" priority="357">
      <formula>AG$9&lt;8/24</formula>
    </cfRule>
  </conditionalFormatting>
  <conditionalFormatting sqref="T245">
    <cfRule type="expression" dxfId="2390" priority="358">
      <formula>AX$9&gt;=20/24</formula>
    </cfRule>
    <cfRule type="expression" dxfId="2389" priority="359">
      <formula>AND(AX$9&gt;=14/24,AX$9&lt;20/24)</formula>
    </cfRule>
    <cfRule type="expression" dxfId="2388" priority="360">
      <formula>AND(AX$9&gt;=8/24,AX$9&lt;14/24)</formula>
    </cfRule>
    <cfRule type="expression" dxfId="2387" priority="361">
      <formula>AX$9&lt;8/24</formula>
    </cfRule>
  </conditionalFormatting>
  <conditionalFormatting sqref="A115:A116">
    <cfRule type="expression" dxfId="2386" priority="313">
      <formula>$AH115=0</formula>
    </cfRule>
  </conditionalFormatting>
  <conditionalFormatting sqref="M71:AF71 AB54:AF57">
    <cfRule type="expression" dxfId="2385" priority="309">
      <formula>M$9&gt;=20/24</formula>
    </cfRule>
    <cfRule type="expression" dxfId="2384" priority="310">
      <formula>AND(M$9&gt;=14/24,M$9&lt;20/24)</formula>
    </cfRule>
    <cfRule type="expression" dxfId="2383" priority="311">
      <formula>AND(M$9&gt;=8/24,M$9&lt;14/24)</formula>
    </cfRule>
    <cfRule type="expression" dxfId="2382" priority="312">
      <formula>M$9&lt;8/24</formula>
    </cfRule>
  </conditionalFormatting>
  <conditionalFormatting sqref="AB53:AF53">
    <cfRule type="expression" dxfId="2381" priority="305">
      <formula>AB$9&gt;=20/24</formula>
    </cfRule>
    <cfRule type="expression" dxfId="2380" priority="306">
      <formula>AND(AB$9&gt;=14/24,AB$9&lt;20/24)</formula>
    </cfRule>
    <cfRule type="expression" dxfId="2379" priority="307">
      <formula>AND(AB$9&gt;=8/24,AB$9&lt;14/24)</formula>
    </cfRule>
    <cfRule type="expression" dxfId="2378" priority="308">
      <formula>AB$9&lt;8/24</formula>
    </cfRule>
  </conditionalFormatting>
  <conditionalFormatting sqref="AB53:AF57">
    <cfRule type="expression" dxfId="2377" priority="304">
      <formula>AB53&gt;$AG53</formula>
    </cfRule>
  </conditionalFormatting>
  <conditionalFormatting sqref="AD100:AF106 M100:X106 Y96:AF96 Y47:AF47 D86:AF86 M72:AA73 Y104:AA106 AB67:AF69 AB72:AF74">
    <cfRule type="expression" dxfId="2376" priority="300">
      <formula>D$9&gt;=20/24</formula>
    </cfRule>
    <cfRule type="expression" dxfId="2375" priority="301">
      <formula>AND(D$9&gt;=14/24,D$9&lt;20/24)</formula>
    </cfRule>
    <cfRule type="expression" dxfId="2374" priority="302">
      <formula>AND(D$9&gt;=8/24,D$9&lt;14/24)</formula>
    </cfRule>
    <cfRule type="expression" dxfId="2373" priority="303">
      <formula>D$9&lt;8/24</formula>
    </cfRule>
  </conditionalFormatting>
  <conditionalFormatting sqref="Y47:AF47 AB67:AF69">
    <cfRule type="expression" dxfId="2372" priority="299">
      <formula>Y47&gt;$AG47</formula>
    </cfRule>
  </conditionalFormatting>
  <conditionalFormatting sqref="S53:T54 U53:AA58">
    <cfRule type="expression" dxfId="2371" priority="295">
      <formula>S$9&gt;=20/24</formula>
    </cfRule>
    <cfRule type="expression" dxfId="2370" priority="296">
      <formula>AND(S$9&gt;=14/24,S$9&lt;20/24)</formula>
    </cfRule>
    <cfRule type="expression" dxfId="2369" priority="297">
      <formula>AND(S$9&gt;=8/24,S$9&lt;14/24)</formula>
    </cfRule>
    <cfRule type="expression" dxfId="2368" priority="298">
      <formula>S$9&lt;8/24</formula>
    </cfRule>
  </conditionalFormatting>
  <conditionalFormatting sqref="S53:T54 U53:AA58">
    <cfRule type="expression" dxfId="2367" priority="294">
      <formula>S53&gt;$AG53</formula>
    </cfRule>
  </conditionalFormatting>
  <conditionalFormatting sqref="C97:AF97 D88:AF88">
    <cfRule type="expression" dxfId="2366" priority="290">
      <formula>C$9&gt;=20/24</formula>
    </cfRule>
    <cfRule type="expression" dxfId="2365" priority="291">
      <formula>AND(C$9&gt;=14/24,C$9&lt;20/24)</formula>
    </cfRule>
    <cfRule type="expression" dxfId="2364" priority="292">
      <formula>AND(C$9&gt;=8/24,C$9&lt;14/24)</formula>
    </cfRule>
    <cfRule type="expression" dxfId="2363" priority="293">
      <formula>C$9&lt;8/24</formula>
    </cfRule>
  </conditionalFormatting>
  <conditionalFormatting sqref="U47:X47">
    <cfRule type="expression" dxfId="2362" priority="286">
      <formula>U$9&gt;=20/24</formula>
    </cfRule>
    <cfRule type="expression" dxfId="2361" priority="287">
      <formula>AND(U$9&gt;=14/24,U$9&lt;20/24)</formula>
    </cfRule>
    <cfRule type="expression" dxfId="2360" priority="288">
      <formula>AND(U$9&gt;=8/24,U$9&lt;14/24)</formula>
    </cfRule>
    <cfRule type="expression" dxfId="2359" priority="289">
      <formula>U$9&lt;8/24</formula>
    </cfRule>
  </conditionalFormatting>
  <conditionalFormatting sqref="U47:X47">
    <cfRule type="expression" dxfId="2358" priority="285">
      <formula>U47&gt;$AG47</formula>
    </cfRule>
  </conditionalFormatting>
  <conditionalFormatting sqref="K54:L54 L55 M54:R55 S55:T55">
    <cfRule type="expression" dxfId="2357" priority="281">
      <formula>K$9&gt;=20/24</formula>
    </cfRule>
    <cfRule type="expression" dxfId="2356" priority="282">
      <formula>AND(K$9&gt;=14/24,K$9&lt;20/24)</formula>
    </cfRule>
    <cfRule type="expression" dxfId="2355" priority="283">
      <formula>AND(K$9&gt;=8/24,K$9&lt;14/24)</formula>
    </cfRule>
    <cfRule type="expression" dxfId="2354" priority="284">
      <formula>K$9&lt;8/24</formula>
    </cfRule>
  </conditionalFormatting>
  <conditionalFormatting sqref="J53:R53">
    <cfRule type="expression" dxfId="2353" priority="277">
      <formula>J$9&gt;=20/24</formula>
    </cfRule>
    <cfRule type="expression" dxfId="2352" priority="278">
      <formula>AND(J$9&gt;=14/24,J$9&lt;20/24)</formula>
    </cfRule>
    <cfRule type="expression" dxfId="2351" priority="279">
      <formula>AND(J$9&gt;=8/24,J$9&lt;14/24)</formula>
    </cfRule>
    <cfRule type="expression" dxfId="2350" priority="280">
      <formula>J$9&lt;8/24</formula>
    </cfRule>
  </conditionalFormatting>
  <conditionalFormatting sqref="J53:L53 K54:L54 L55 M53:R55 S55:T55">
    <cfRule type="expression" dxfId="2349" priority="276">
      <formula>J53&gt;$AG53</formula>
    </cfRule>
  </conditionalFormatting>
  <conditionalFormatting sqref="AG70 AG87 F100:L106 S67:AA69">
    <cfRule type="expression" dxfId="2348" priority="272">
      <formula>F$9&gt;=20/24</formula>
    </cfRule>
    <cfRule type="expression" dxfId="2347" priority="273">
      <formula>AND(F$9&gt;=14/24,F$9&lt;20/24)</formula>
    </cfRule>
    <cfRule type="expression" dxfId="2346" priority="274">
      <formula>AND(F$9&gt;=8/24,F$9&lt;14/24)</formula>
    </cfRule>
    <cfRule type="expression" dxfId="2345" priority="275">
      <formula>F$9&lt;8/24</formula>
    </cfRule>
  </conditionalFormatting>
  <conditionalFormatting sqref="AG48 AG66 AG70 S67:AA69">
    <cfRule type="expression" dxfId="2344" priority="271">
      <formula>S48&gt;$AG48</formula>
    </cfRule>
  </conditionalFormatting>
  <conditionalFormatting sqref="AB58:AF58">
    <cfRule type="expression" dxfId="2343" priority="267">
      <formula>AB$9&gt;=20/24</formula>
    </cfRule>
    <cfRule type="expression" dxfId="2342" priority="268">
      <formula>AND(AB$9&gt;=14/24,AB$9&lt;20/24)</formula>
    </cfRule>
    <cfRule type="expression" dxfId="2341" priority="269">
      <formula>AND(AB$9&gt;=8/24,AB$9&lt;14/24)</formula>
    </cfRule>
    <cfRule type="expression" dxfId="2340" priority="270">
      <formula>AB$9&lt;8/24</formula>
    </cfRule>
  </conditionalFormatting>
  <conditionalFormatting sqref="AB58:AF58">
    <cfRule type="expression" dxfId="2339" priority="266">
      <formula>AB58&gt;$AG58</formula>
    </cfRule>
  </conditionalFormatting>
  <conditionalFormatting sqref="A43">
    <cfRule type="expression" dxfId="2338" priority="265">
      <formula>$AH43=0</formula>
    </cfRule>
  </conditionalFormatting>
  <conditionalFormatting sqref="Y91:AF95">
    <cfRule type="expression" dxfId="2337" priority="261">
      <formula>Y$9&gt;=20/24</formula>
    </cfRule>
    <cfRule type="expression" dxfId="2336" priority="262">
      <formula>AND(Y$9&gt;=14/24,Y$9&lt;20/24)</formula>
    </cfRule>
    <cfRule type="expression" dxfId="2335" priority="263">
      <formula>AND(Y$9&gt;=8/24,Y$9&lt;14/24)</formula>
    </cfRule>
    <cfRule type="expression" dxfId="2334" priority="264">
      <formula>Y$9&lt;8/24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M49:AF51">
    <cfRule type="expression" dxfId="2333" priority="257">
      <formula>M$9&gt;=20/24</formula>
    </cfRule>
    <cfRule type="expression" dxfId="2332" priority="258">
      <formula>AND(M$9&gt;=14/24,M$9&lt;20/24)</formula>
    </cfRule>
    <cfRule type="expression" dxfId="2331" priority="259">
      <formula>AND(M$9&gt;=8/24,M$9&lt;14/24)</formula>
    </cfRule>
    <cfRule type="expression" dxfId="2330" priority="260">
      <formula>M$9&lt;8/24</formula>
    </cfRule>
  </conditionalFormatting>
  <conditionalFormatting sqref="M49:AF51">
    <cfRule type="expression" dxfId="2329" priority="256">
      <formula>M49&gt;$AG49</formula>
    </cfRule>
  </conditionalFormatting>
  <conditionalFormatting sqref="AG52">
    <cfRule type="expression" dxfId="2328" priority="252">
      <formula>AG$9&gt;=20/24</formula>
    </cfRule>
    <cfRule type="expression" dxfId="2327" priority="253">
      <formula>AND(AG$9&gt;=14/24,AG$9&lt;20/24)</formula>
    </cfRule>
    <cfRule type="expression" dxfId="2326" priority="254">
      <formula>AND(AG$9&gt;=8/24,AG$9&lt;14/24)</formula>
    </cfRule>
    <cfRule type="expression" dxfId="2325" priority="255">
      <formula>AG$9&lt;8/24</formula>
    </cfRule>
  </conditionalFormatting>
  <conditionalFormatting sqref="AG52">
    <cfRule type="expression" dxfId="2324" priority="251">
      <formula>AG52&gt;$AG52</formula>
    </cfRule>
  </conditionalFormatting>
  <conditionalFormatting sqref="C107:AF107">
    <cfRule type="expression" dxfId="2323" priority="247">
      <formula>C$9&gt;=20/24</formula>
    </cfRule>
    <cfRule type="expression" dxfId="2322" priority="248">
      <formula>AND(C$9&gt;=14/24,C$9&lt;20/24)</formula>
    </cfRule>
    <cfRule type="expression" dxfId="2321" priority="249">
      <formula>AND(C$9&gt;=8/24,C$9&lt;14/24)</formula>
    </cfRule>
    <cfRule type="expression" dxfId="2320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2319" priority="245">
      <formula>$AH40=0</formula>
    </cfRule>
  </conditionalFormatting>
  <conditionalFormatting sqref="A90">
    <cfRule type="expression" dxfId="2318" priority="243">
      <formula>$AH90=0</formula>
    </cfRule>
  </conditionalFormatting>
  <conditionalFormatting sqref="A87">
    <cfRule type="expression" dxfId="2317" priority="244">
      <formula>$AH87=0</formula>
    </cfRule>
  </conditionalFormatting>
  <conditionalFormatting sqref="D110:AF110">
    <cfRule type="expression" dxfId="2316" priority="239">
      <formula>D$9&gt;=20/24</formula>
    </cfRule>
    <cfRule type="expression" dxfId="2315" priority="240">
      <formula>AND(D$9&gt;=14/24,D$9&lt;20/24)</formula>
    </cfRule>
    <cfRule type="expression" dxfId="2314" priority="241">
      <formula>AND(D$9&gt;=8/24,D$9&lt;14/24)</formula>
    </cfRule>
    <cfRule type="expression" dxfId="2313" priority="242">
      <formula>D$9&lt;8/24</formula>
    </cfRule>
  </conditionalFormatting>
  <conditionalFormatting sqref="A110">
    <cfRule type="expression" dxfId="2312" priority="238">
      <formula>$AH110=0</formula>
    </cfRule>
  </conditionalFormatting>
  <conditionalFormatting sqref="A21">
    <cfRule type="expression" dxfId="2311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310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2309" priority="230">
      <formula>Y$9&gt;=20/24</formula>
    </cfRule>
    <cfRule type="expression" dxfId="2308" priority="231">
      <formula>AND(Y$9&gt;=14/24,Y$9&lt;20/24)</formula>
    </cfRule>
    <cfRule type="expression" dxfId="2307" priority="232">
      <formula>AND(Y$9&gt;=8/24,Y$9&lt;14/24)</formula>
    </cfRule>
    <cfRule type="expression" dxfId="2306" priority="233">
      <formula>Y$9&lt;8/24</formula>
    </cfRule>
  </conditionalFormatting>
  <conditionalFormatting sqref="AB100:AC106 Y100:AA103">
    <cfRule type="expression" dxfId="2305" priority="226">
      <formula>Y$9&gt;=20/24</formula>
    </cfRule>
    <cfRule type="expression" dxfId="2304" priority="227">
      <formula>AND(Y$9&gt;=14/24,Y$9&lt;20/24)</formula>
    </cfRule>
    <cfRule type="expression" dxfId="2303" priority="228">
      <formula>AND(Y$9&gt;=8/24,Y$9&lt;14/24)</formula>
    </cfRule>
    <cfRule type="expression" dxfId="2302" priority="229">
      <formula>Y$9&lt;8/24</formula>
    </cfRule>
  </conditionalFormatting>
  <conditionalFormatting sqref="C47:T47">
    <cfRule type="expression" dxfId="2301" priority="218">
      <formula>C$9&gt;=20/24</formula>
    </cfRule>
    <cfRule type="expression" dxfId="2300" priority="219">
      <formula>AND(C$9&gt;=14/24,C$9&lt;20/24)</formula>
    </cfRule>
    <cfRule type="expression" dxfId="2299" priority="220">
      <formula>AND(C$9&gt;=8/24,C$9&lt;14/24)</formula>
    </cfRule>
    <cfRule type="expression" dxfId="2298" priority="221">
      <formula>C$9&lt;8/24</formula>
    </cfRule>
  </conditionalFormatting>
  <conditionalFormatting sqref="C47:T47">
    <cfRule type="expression" dxfId="2297" priority="217">
      <formula>C47&gt;$AG47</formula>
    </cfRule>
  </conditionalFormatting>
  <conditionalFormatting sqref="C99:E99">
    <cfRule type="expression" dxfId="2296" priority="213">
      <formula>C$9&gt;=20/24</formula>
    </cfRule>
    <cfRule type="expression" dxfId="2295" priority="214">
      <formula>AND(C$9&gt;=14/24,C$9&lt;20/24)</formula>
    </cfRule>
    <cfRule type="expression" dxfId="2294" priority="215">
      <formula>AND(C$9&gt;=8/24,C$9&lt;14/24)</formula>
    </cfRule>
    <cfRule type="expression" dxfId="2293" priority="216">
      <formula>C$9&lt;8/24</formula>
    </cfRule>
  </conditionalFormatting>
  <conditionalFormatting sqref="C86 D100:E106 J67:R69 C96:X96 C83:AF85 M74:AA76 AB75:AF76">
    <cfRule type="expression" dxfId="2292" priority="209">
      <formula>C$9&gt;=20/24</formula>
    </cfRule>
    <cfRule type="expression" dxfId="2291" priority="210">
      <formula>AND(C$9&gt;=14/24,C$9&lt;20/24)</formula>
    </cfRule>
    <cfRule type="expression" dxfId="2290" priority="211">
      <formula>AND(C$9&gt;=8/24,C$9&lt;14/24)</formula>
    </cfRule>
    <cfRule type="expression" dxfId="2289" priority="212">
      <formula>C$9&lt;8/24</formula>
    </cfRule>
  </conditionalFormatting>
  <conditionalFormatting sqref="J67:R69 L56:T57">
    <cfRule type="expression" dxfId="2288" priority="208">
      <formula>J56&gt;$AG56</formula>
    </cfRule>
  </conditionalFormatting>
  <conditionalFormatting sqref="L58:T58">
    <cfRule type="expression" dxfId="2287" priority="204">
      <formula>L$9&gt;=20/24</formula>
    </cfRule>
    <cfRule type="expression" dxfId="2286" priority="205">
      <formula>AND(L$9&gt;=14/24,L$9&lt;20/24)</formula>
    </cfRule>
    <cfRule type="expression" dxfId="2285" priority="206">
      <formula>AND(L$9&gt;=8/24,L$9&lt;14/24)</formula>
    </cfRule>
    <cfRule type="expression" dxfId="2284" priority="207">
      <formula>L$9&lt;8/24</formula>
    </cfRule>
  </conditionalFormatting>
  <conditionalFormatting sqref="L58:T58">
    <cfRule type="expression" dxfId="2283" priority="203">
      <formula>L58&gt;$AG58</formula>
    </cfRule>
  </conditionalFormatting>
  <conditionalFormatting sqref="B54:J57 K55:K57 B71:L71">
    <cfRule type="expression" dxfId="2282" priority="132">
      <formula>B$9&gt;=20/24</formula>
    </cfRule>
    <cfRule type="expression" dxfId="2281" priority="133">
      <formula>AND(B$9&gt;=14/24,B$9&lt;20/24)</formula>
    </cfRule>
    <cfRule type="expression" dxfId="2280" priority="134">
      <formula>AND(B$9&gt;=8/24,B$9&lt;14/24)</formula>
    </cfRule>
    <cfRule type="expression" dxfId="2279" priority="135">
      <formula>B$9&lt;8/24</formula>
    </cfRule>
  </conditionalFormatting>
  <conditionalFormatting sqref="C87:AF87 C89:AF89 C98:AF98 C70:AF70">
    <cfRule type="expression" dxfId="2278" priority="199">
      <formula>C$9&gt;=20/24</formula>
    </cfRule>
    <cfRule type="expression" dxfId="2277" priority="200">
      <formula>AND(C$9&gt;=14/24,C$9&lt;20/24)</formula>
    </cfRule>
    <cfRule type="expression" dxfId="2276" priority="201">
      <formula>AND(C$9&gt;=8/24,C$9&lt;14/24)</formula>
    </cfRule>
    <cfRule type="expression" dxfId="2275" priority="202">
      <formula>C$9&lt;8/24</formula>
    </cfRule>
  </conditionalFormatting>
  <conditionalFormatting sqref="C70:AF70 C65:AF66">
    <cfRule type="expression" dxfId="2274" priority="198">
      <formula>C65&gt;$AG65</formula>
    </cfRule>
  </conditionalFormatting>
  <conditionalFormatting sqref="C82:AF82">
    <cfRule type="expression" dxfId="2273" priority="194">
      <formula>C$9&gt;=20/24</formula>
    </cfRule>
    <cfRule type="expression" dxfId="2272" priority="195">
      <formula>AND(C$9&gt;=14/24,C$9&lt;20/24)</formula>
    </cfRule>
    <cfRule type="expression" dxfId="2271" priority="196">
      <formula>AND(C$9&gt;=8/24,C$9&lt;14/24)</formula>
    </cfRule>
    <cfRule type="expression" dxfId="2270" priority="197">
      <formula>C$9&lt;8/24</formula>
    </cfRule>
  </conditionalFormatting>
  <conditionalFormatting sqref="C91:X95">
    <cfRule type="expression" dxfId="2269" priority="190">
      <formula>C$9&gt;=20/24</formula>
    </cfRule>
    <cfRule type="expression" dxfId="2268" priority="191">
      <formula>AND(C$9&gt;=14/24,C$9&lt;20/24)</formula>
    </cfRule>
    <cfRule type="expression" dxfId="2267" priority="192">
      <formula>AND(C$9&gt;=8/24,C$9&lt;14/24)</formula>
    </cfRule>
    <cfRule type="expression" dxfId="2266" priority="193">
      <formula>C$9&lt;8/24</formula>
    </cfRule>
  </conditionalFormatting>
  <conditionalFormatting sqref="C52:AF52">
    <cfRule type="expression" dxfId="2265" priority="186">
      <formula>C$9&gt;=20/24</formula>
    </cfRule>
    <cfRule type="expression" dxfId="2264" priority="187">
      <formula>AND(C$9&gt;=14/24,C$9&lt;20/24)</formula>
    </cfRule>
    <cfRule type="expression" dxfId="2263" priority="188">
      <formula>AND(C$9&gt;=8/24,C$9&lt;14/24)</formula>
    </cfRule>
    <cfRule type="expression" dxfId="2262" priority="189">
      <formula>C$9&lt;8/24</formula>
    </cfRule>
  </conditionalFormatting>
  <conditionalFormatting sqref="C52:AF52">
    <cfRule type="expression" dxfId="2261" priority="185">
      <formula>C52&gt;$AG52</formula>
    </cfRule>
  </conditionalFormatting>
  <conditionalFormatting sqref="B49:L51">
    <cfRule type="expression" dxfId="2260" priority="100">
      <formula>B$9&gt;=20/24</formula>
    </cfRule>
    <cfRule type="expression" dxfId="2259" priority="101">
      <formula>AND(B$9&gt;=14/24,B$9&lt;20/24)</formula>
    </cfRule>
    <cfRule type="expression" dxfId="2258" priority="102">
      <formula>AND(B$9&gt;=8/24,B$9&lt;14/24)</formula>
    </cfRule>
    <cfRule type="expression" dxfId="2257" priority="103">
      <formula>B$9&lt;8/24</formula>
    </cfRule>
  </conditionalFormatting>
  <conditionalFormatting sqref="U59:AF59">
    <cfRule type="expression" dxfId="2256" priority="173">
      <formula>U$9&gt;=20/24</formula>
    </cfRule>
    <cfRule type="expression" dxfId="2255" priority="174">
      <formula>AND(U$9&gt;=14/24,U$9&lt;20/24)</formula>
    </cfRule>
    <cfRule type="expression" dxfId="2254" priority="175">
      <formula>AND(U$9&gt;=8/24,U$9&lt;14/24)</formula>
    </cfRule>
    <cfRule type="expression" dxfId="2253" priority="176">
      <formula>U$9&lt;8/24</formula>
    </cfRule>
  </conditionalFormatting>
  <conditionalFormatting sqref="U59:AF59">
    <cfRule type="expression" dxfId="2252" priority="172">
      <formula>U59&gt;$AG59</formula>
    </cfRule>
  </conditionalFormatting>
  <conditionalFormatting sqref="M77:AF81">
    <cfRule type="expression" dxfId="2251" priority="154">
      <formula>M$9&gt;=20/24</formula>
    </cfRule>
    <cfRule type="expression" dxfId="2250" priority="155">
      <formula>AND(M$9&gt;=14/24,M$9&lt;20/24)</formula>
    </cfRule>
    <cfRule type="expression" dxfId="2249" priority="156">
      <formula>AND(M$9&gt;=8/24,M$9&lt;14/24)</formula>
    </cfRule>
    <cfRule type="expression" dxfId="2248" priority="157">
      <formula>M$9&lt;8/24</formula>
    </cfRule>
  </conditionalFormatting>
  <conditionalFormatting sqref="AL78:AN78 AL84:AN84 AN79:AN80">
    <cfRule type="expression" dxfId="2247" priority="150">
      <formula>AL$9&gt;=20/24</formula>
    </cfRule>
    <cfRule type="expression" dxfId="2246" priority="151">
      <formula>AND(AL$9&gt;=14/24,AL$9&lt;20/24)</formula>
    </cfRule>
    <cfRule type="expression" dxfId="2245" priority="152">
      <formula>AND(AL$9&gt;=8/24,AL$9&lt;14/24)</formula>
    </cfRule>
    <cfRule type="expression" dxfId="2244" priority="153">
      <formula>AL$9&lt;8/24</formula>
    </cfRule>
  </conditionalFormatting>
  <conditionalFormatting sqref="AN81:AN82">
    <cfRule type="expression" dxfId="2243" priority="146">
      <formula>AN$9&gt;=20/24</formula>
    </cfRule>
    <cfRule type="expression" dxfId="2242" priority="147">
      <formula>AND(AN$9&gt;=14/24,AN$9&lt;20/24)</formula>
    </cfRule>
    <cfRule type="expression" dxfId="2241" priority="148">
      <formula>AND(AN$9&gt;=8/24,AN$9&lt;14/24)</formula>
    </cfRule>
    <cfRule type="expression" dxfId="2240" priority="149">
      <formula>AN$9&lt;8/24</formula>
    </cfRule>
  </conditionalFormatting>
  <conditionalFormatting sqref="AL79:AM83">
    <cfRule type="expression" dxfId="2239" priority="363">
      <formula>AJ$9&gt;=20/24</formula>
    </cfRule>
    <cfRule type="expression" dxfId="2238" priority="364">
      <formula>AND(AJ$9&gt;=14/24,AJ$9&lt;20/24)</formula>
    </cfRule>
    <cfRule type="expression" dxfId="2237" priority="365">
      <formula>AND(AJ$9&gt;=8/24,AJ$9&lt;14/24)</formula>
    </cfRule>
    <cfRule type="expression" dxfId="2236" priority="366">
      <formula>AJ$9&lt;8/24</formula>
    </cfRule>
  </conditionalFormatting>
  <conditionalFormatting sqref="A117">
    <cfRule type="expression" dxfId="2235" priority="145">
      <formula>$AH117=0</formula>
    </cfRule>
  </conditionalFormatting>
  <conditionalFormatting sqref="B109:C109 B111:C116 B34:AF43 B45:AF45 B12:AF15 B17:AF32">
    <cfRule type="expression" dxfId="2234" priority="141">
      <formula>B$9&gt;=20/24</formula>
    </cfRule>
    <cfRule type="expression" dxfId="2233" priority="142">
      <formula>AND(B$9&gt;=14/24,B$9&lt;20/24)</formula>
    </cfRule>
    <cfRule type="expression" dxfId="2232" priority="143">
      <formula>AND(B$9&gt;=8/24,B$9&lt;14/24)</formula>
    </cfRule>
    <cfRule type="expression" dxfId="2231" priority="144">
      <formula>B$9&lt;8/24</formula>
    </cfRule>
  </conditionalFormatting>
  <conditionalFormatting sqref="B34:AF43 B45:AF45 B12:AF15 B17:AF32">
    <cfRule type="expression" dxfId="2230" priority="140">
      <formula>B12&gt;$AG12</formula>
    </cfRule>
  </conditionalFormatting>
  <conditionalFormatting sqref="B99">
    <cfRule type="expression" dxfId="2229" priority="136">
      <formula>B$9&gt;=20/24</formula>
    </cfRule>
    <cfRule type="expression" dxfId="2228" priority="137">
      <formula>AND(B$9&gt;=14/24,B$9&lt;20/24)</formula>
    </cfRule>
    <cfRule type="expression" dxfId="2227" priority="138">
      <formula>AND(B$9&gt;=8/24,B$9&lt;14/24)</formula>
    </cfRule>
    <cfRule type="expression" dxfId="2226" priority="139">
      <formula>B$9&lt;8/24</formula>
    </cfRule>
  </conditionalFormatting>
  <conditionalFormatting sqref="B53:I53">
    <cfRule type="expression" dxfId="2225" priority="128">
      <formula>B$9&gt;=20/24</formula>
    </cfRule>
    <cfRule type="expression" dxfId="2224" priority="129">
      <formula>AND(B$9&gt;=14/24,B$9&lt;20/24)</formula>
    </cfRule>
    <cfRule type="expression" dxfId="2223" priority="130">
      <formula>AND(B$9&gt;=8/24,B$9&lt;14/24)</formula>
    </cfRule>
    <cfRule type="expression" dxfId="2222" priority="131">
      <formula>B$9&lt;8/24</formula>
    </cfRule>
  </conditionalFormatting>
  <conditionalFormatting sqref="B53:I57 J54:J57 K55:K57">
    <cfRule type="expression" dxfId="2221" priority="127">
      <formula>B53&gt;$AG53</formula>
    </cfRule>
  </conditionalFormatting>
  <conditionalFormatting sqref="B96 B86 B47 B100:C106 B67:I69 B72:L74">
    <cfRule type="expression" dxfId="2220" priority="123">
      <formula>B$9&gt;=20/24</formula>
    </cfRule>
    <cfRule type="expression" dxfId="2219" priority="124">
      <formula>AND(B$9&gt;=14/24,B$9&lt;20/24)</formula>
    </cfRule>
    <cfRule type="expression" dxfId="2218" priority="125">
      <formula>AND(B$9&gt;=8/24,B$9&lt;14/24)</formula>
    </cfRule>
    <cfRule type="expression" dxfId="2217" priority="126">
      <formula>B$9&lt;8/24</formula>
    </cfRule>
  </conditionalFormatting>
  <conditionalFormatting sqref="B47 B67:I69">
    <cfRule type="expression" dxfId="2216" priority="122">
      <formula>B47&gt;$AG47</formula>
    </cfRule>
  </conditionalFormatting>
  <conditionalFormatting sqref="B97 B88:C88">
    <cfRule type="expression" dxfId="2215" priority="118">
      <formula>B$9&gt;=20/24</formula>
    </cfRule>
    <cfRule type="expression" dxfId="2214" priority="119">
      <formula>AND(B$9&gt;=14/24,B$9&lt;20/24)</formula>
    </cfRule>
    <cfRule type="expression" dxfId="2213" priority="120">
      <formula>AND(B$9&gt;=8/24,B$9&lt;14/24)</formula>
    </cfRule>
    <cfRule type="expression" dxfId="2212" priority="121">
      <formula>B$9&lt;8/24</formula>
    </cfRule>
  </conditionalFormatting>
  <conditionalFormatting sqref="B46:AF46">
    <cfRule type="expression" dxfId="2211" priority="114">
      <formula>B$9&gt;=20/24</formula>
    </cfRule>
    <cfRule type="expression" dxfId="2210" priority="115">
      <formula>AND(B$9&gt;=14/24,B$9&lt;20/24)</formula>
    </cfRule>
    <cfRule type="expression" dxfId="2209" priority="116">
      <formula>AND(B$9&gt;=8/24,B$9&lt;14/24)</formula>
    </cfRule>
    <cfRule type="expression" dxfId="2208" priority="117">
      <formula>B$9&lt;8/24</formula>
    </cfRule>
  </conditionalFormatting>
  <conditionalFormatting sqref="B46:AF46">
    <cfRule type="expression" dxfId="2207" priority="113">
      <formula>B46&gt;$AG46</formula>
    </cfRule>
  </conditionalFormatting>
  <conditionalFormatting sqref="B58:K58">
    <cfRule type="expression" dxfId="2206" priority="109">
      <formula>B$9&gt;=20/24</formula>
    </cfRule>
    <cfRule type="expression" dxfId="2205" priority="110">
      <formula>AND(B$9&gt;=14/24,B$9&lt;20/24)</formula>
    </cfRule>
    <cfRule type="expression" dxfId="2204" priority="111">
      <formula>AND(B$9&gt;=8/24,B$9&lt;14/24)</formula>
    </cfRule>
    <cfRule type="expression" dxfId="2203" priority="112">
      <formula>B$9&lt;8/24</formula>
    </cfRule>
  </conditionalFormatting>
  <conditionalFormatting sqref="B58:K58">
    <cfRule type="expression" dxfId="2202" priority="108">
      <formula>B58&gt;$AG58</formula>
    </cfRule>
  </conditionalFormatting>
  <conditionalFormatting sqref="B91:B95">
    <cfRule type="expression" dxfId="2201" priority="104">
      <formula>B$9&gt;=20/24</formula>
    </cfRule>
    <cfRule type="expression" dxfId="2200" priority="105">
      <formula>AND(B$9&gt;=14/24,B$9&lt;20/24)</formula>
    </cfRule>
    <cfRule type="expression" dxfId="2199" priority="106">
      <formula>AND(B$9&gt;=8/24,B$9&lt;14/24)</formula>
    </cfRule>
    <cfRule type="expression" dxfId="2198" priority="107">
      <formula>B$9&lt;8/24</formula>
    </cfRule>
  </conditionalFormatting>
  <conditionalFormatting sqref="B49:L51">
    <cfRule type="expression" dxfId="2197" priority="99">
      <formula>B49&gt;$AG49</formula>
    </cfRule>
  </conditionalFormatting>
  <conditionalFormatting sqref="B107">
    <cfRule type="expression" dxfId="2196" priority="95">
      <formula>B$9&gt;=20/24</formula>
    </cfRule>
    <cfRule type="expression" dxfId="2195" priority="96">
      <formula>AND(B$9&gt;=14/24,B$9&lt;20/24)</formula>
    </cfRule>
    <cfRule type="expression" dxfId="2194" priority="97">
      <formula>AND(B$9&gt;=8/24,B$9&lt;14/24)</formula>
    </cfRule>
    <cfRule type="expression" dxfId="2193" priority="98">
      <formula>B$9&lt;8/24</formula>
    </cfRule>
  </conditionalFormatting>
  <conditionalFormatting sqref="B110:C110">
    <cfRule type="expression" dxfId="2192" priority="91">
      <formula>B$9&gt;=20/24</formula>
    </cfRule>
    <cfRule type="expression" dxfId="2191" priority="92">
      <formula>AND(B$9&gt;=14/24,B$9&lt;20/24)</formula>
    </cfRule>
    <cfRule type="expression" dxfId="2190" priority="93">
      <formula>AND(B$9&gt;=8/24,B$9&lt;14/24)</formula>
    </cfRule>
    <cfRule type="expression" dxfId="2189" priority="94">
      <formula>B$9&lt;8/24</formula>
    </cfRule>
  </conditionalFormatting>
  <conditionalFormatting sqref="B83:B85 B75:L81">
    <cfRule type="expression" dxfId="2188" priority="87">
      <formula>B$9&gt;=20/24</formula>
    </cfRule>
    <cfRule type="expression" dxfId="2187" priority="88">
      <formula>AND(B$9&gt;=14/24,B$9&lt;20/24)</formula>
    </cfRule>
    <cfRule type="expression" dxfId="2186" priority="89">
      <formula>AND(B$9&gt;=8/24,B$9&lt;14/24)</formula>
    </cfRule>
    <cfRule type="expression" dxfId="2185" priority="90">
      <formula>B$9&lt;8/24</formula>
    </cfRule>
  </conditionalFormatting>
  <conditionalFormatting sqref="B89 B98 B70 B87">
    <cfRule type="expression" dxfId="2184" priority="83">
      <formula>B$9&gt;=20/24</formula>
    </cfRule>
    <cfRule type="expression" dxfId="2183" priority="84">
      <formula>AND(B$9&gt;=14/24,B$9&lt;20/24)</formula>
    </cfRule>
    <cfRule type="expression" dxfId="2182" priority="85">
      <formula>AND(B$9&gt;=8/24,B$9&lt;14/24)</formula>
    </cfRule>
    <cfRule type="expression" dxfId="2181" priority="86">
      <formula>B$9&lt;8/24</formula>
    </cfRule>
  </conditionalFormatting>
  <conditionalFormatting sqref="B65:B66 B70 B48:AF48">
    <cfRule type="expression" dxfId="2180" priority="82">
      <formula>B48&gt;$AG48</formula>
    </cfRule>
  </conditionalFormatting>
  <conditionalFormatting sqref="B82">
    <cfRule type="expression" dxfId="2179" priority="78">
      <formula>B$9&gt;=20/24</formula>
    </cfRule>
    <cfRule type="expression" dxfId="2178" priority="79">
      <formula>AND(B$9&gt;=14/24,B$9&lt;20/24)</formula>
    </cfRule>
    <cfRule type="expression" dxfId="2177" priority="80">
      <formula>AND(B$9&gt;=8/24,B$9&lt;14/24)</formula>
    </cfRule>
    <cfRule type="expression" dxfId="2176" priority="81">
      <formula>B$9&lt;8/24</formula>
    </cfRule>
  </conditionalFormatting>
  <conditionalFormatting sqref="B52">
    <cfRule type="expression" dxfId="2175" priority="74">
      <formula>B$9&gt;=20/24</formula>
    </cfRule>
    <cfRule type="expression" dxfId="2174" priority="75">
      <formula>AND(B$9&gt;=14/24,B$9&lt;20/24)</formula>
    </cfRule>
    <cfRule type="expression" dxfId="2173" priority="76">
      <formula>AND(B$9&gt;=8/24,B$9&lt;14/24)</formula>
    </cfRule>
    <cfRule type="expression" dxfId="2172" priority="77">
      <formula>B$9&lt;8/24</formula>
    </cfRule>
  </conditionalFormatting>
  <conditionalFormatting sqref="B52">
    <cfRule type="expression" dxfId="2171" priority="73">
      <formula>B52&gt;$AG52</formula>
    </cfRule>
  </conditionalFormatting>
  <conditionalFormatting sqref="B59:T64 U60:AF64">
    <cfRule type="expression" dxfId="2170" priority="65">
      <formula>B$9&gt;=20/24</formula>
    </cfRule>
    <cfRule type="expression" dxfId="2169" priority="66">
      <formula>AND(B$9&gt;=14/24,B$9&lt;20/24)</formula>
    </cfRule>
    <cfRule type="expression" dxfId="2168" priority="67">
      <formula>AND(B$9&gt;=8/24,B$9&lt;14/24)</formula>
    </cfRule>
    <cfRule type="expression" dxfId="2167" priority="68">
      <formula>B$9&lt;8/24</formula>
    </cfRule>
  </conditionalFormatting>
  <conditionalFormatting sqref="B59:T64 U60:AF64">
    <cfRule type="expression" dxfId="2166" priority="64">
      <formula>B59&gt;$AG59</formula>
    </cfRule>
  </conditionalFormatting>
  <conditionalFormatting sqref="A11">
    <cfRule type="expression" dxfId="2165" priority="59">
      <formula>$AH11=0</formula>
    </cfRule>
  </conditionalFormatting>
  <conditionalFormatting sqref="B11:AF11">
    <cfRule type="expression" dxfId="2164" priority="50">
      <formula>B$9&gt;=20/24</formula>
    </cfRule>
    <cfRule type="expression" dxfId="2163" priority="51">
      <formula>AND(B$9&gt;=14/24,B$9&lt;20/24)</formula>
    </cfRule>
    <cfRule type="expression" dxfId="2162" priority="52">
      <formula>AND(B$9&gt;=8/24,B$9&lt;14/24)</formula>
    </cfRule>
    <cfRule type="expression" dxfId="2161" priority="53">
      <formula>B$9&lt;8/24</formula>
    </cfRule>
  </conditionalFormatting>
  <conditionalFormatting sqref="B11:AF11">
    <cfRule type="expression" dxfId="2160" priority="49">
      <formula>B11&gt;$AG11</formula>
    </cfRule>
  </conditionalFormatting>
  <conditionalFormatting sqref="A16">
    <cfRule type="expression" dxfId="2159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B16:AF16">
    <cfRule type="expression" dxfId="2158" priority="38">
      <formula>B$9&gt;=20/24</formula>
    </cfRule>
    <cfRule type="expression" dxfId="2157" priority="39">
      <formula>AND(B$9&gt;=14/24,B$9&lt;20/24)</formula>
    </cfRule>
    <cfRule type="expression" dxfId="2156" priority="40">
      <formula>AND(B$9&gt;=8/24,B$9&lt;14/24)</formula>
    </cfRule>
    <cfRule type="expression" dxfId="2155" priority="41">
      <formula>B$9&lt;8/24</formula>
    </cfRule>
  </conditionalFormatting>
  <conditionalFormatting sqref="B16:AF16">
    <cfRule type="expression" dxfId="2154" priority="37">
      <formula>B16&gt;$AG16</formula>
    </cfRule>
  </conditionalFormatting>
  <conditionalFormatting sqref="A33">
    <cfRule type="expression" dxfId="2153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B33:AF33">
    <cfRule type="expression" dxfId="2152" priority="26">
      <formula>B$9&gt;=20/24</formula>
    </cfRule>
    <cfRule type="expression" dxfId="2151" priority="27">
      <formula>AND(B$9&gt;=14/24,B$9&lt;20/24)</formula>
    </cfRule>
    <cfRule type="expression" dxfId="2150" priority="28">
      <formula>AND(B$9&gt;=8/24,B$9&lt;14/24)</formula>
    </cfRule>
    <cfRule type="expression" dxfId="2149" priority="29">
      <formula>B$9&lt;8/24</formula>
    </cfRule>
  </conditionalFormatting>
  <conditionalFormatting sqref="B33:AF33">
    <cfRule type="expression" dxfId="2148" priority="25">
      <formula>B33&gt;$AG33</formula>
    </cfRule>
  </conditionalFormatting>
  <conditionalFormatting sqref="A44">
    <cfRule type="expression" dxfId="2147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B44:AF44">
    <cfRule type="expression" dxfId="2146" priority="14">
      <formula>B$9&gt;=20/24</formula>
    </cfRule>
    <cfRule type="expression" dxfId="2145" priority="15">
      <formula>AND(B$9&gt;=14/24,B$9&lt;20/24)</formula>
    </cfRule>
    <cfRule type="expression" dxfId="2144" priority="16">
      <formula>AND(B$9&gt;=8/24,B$9&lt;14/24)</formula>
    </cfRule>
    <cfRule type="expression" dxfId="2143" priority="17">
      <formula>B$9&lt;8/24</formula>
    </cfRule>
  </conditionalFormatting>
  <conditionalFormatting sqref="B44:AF44">
    <cfRule type="expression" dxfId="2142" priority="13">
      <formula>B44&gt;$AG44</formula>
    </cfRule>
  </conditionalFormatting>
  <conditionalFormatting sqref="B117:C117">
    <cfRule type="expression" dxfId="2141" priority="1">
      <formula>B$9&gt;=20/24</formula>
    </cfRule>
    <cfRule type="expression" dxfId="2140" priority="2">
      <formula>AND(B$9&gt;=14/24,B$9&lt;20/24)</formula>
    </cfRule>
    <cfRule type="expression" dxfId="2139" priority="3">
      <formula>AND(B$9&gt;=8/24,B$9&lt;14/24)</formula>
    </cfRule>
    <cfRule type="expression" dxfId="2138" priority="4">
      <formula>B$9&lt;8/24</formula>
    </cfRule>
  </conditionalFormatting>
  <conditionalFormatting sqref="D117:AF117">
    <cfRule type="expression" dxfId="2137" priority="9">
      <formula>D$9&gt;=20/24</formula>
    </cfRule>
    <cfRule type="expression" dxfId="2136" priority="10">
      <formula>AND(D$9&gt;=14/24,D$9&lt;20/24)</formula>
    </cfRule>
    <cfRule type="expression" dxfId="2135" priority="11">
      <formula>AND(D$9&gt;=8/24,D$9&lt;14/24)</formula>
    </cfRule>
    <cfRule type="expression" dxfId="2134" priority="12">
      <formula>D$9&lt;8/24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29E04DA1-BF4D-4684-BB4A-A5EB0CE5315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76610A05-47A7-49FA-9F57-154E192525DC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A8699DD8-34E3-4AFB-B9BA-6D0982C0EFA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12E8EC07-85FB-4239-BC68-406345A3981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7941A407-13EF-4931-A9C2-7004EF27D67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76F1732F-5CD6-405B-BD87-6263B1A39A1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908B49A0-FE41-4593-9CE0-A1812295121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11909C66-5C22-4B98-AA5A-2C746288843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workbookViewId="0">
      <pane ySplit="10" topLeftCell="A47" activePane="bottomLeft" state="frozen"/>
      <selection activeCell="Z85" sqref="Z85"/>
      <selection pane="bottomLeft" activeCell="AH11" sqref="AH11:AI117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2079/12/23</v>
      </c>
      <c r="C4" s="236"/>
      <c r="D4" s="236"/>
      <c r="E4" s="237" t="str">
        <f ca="1">"2079/"&amp;"12/"&amp;INT(MID(CELL("filename",G6),FIND("]",CELL("filename",G6))+1,200))</f>
        <v>2079/12/23</v>
      </c>
      <c r="F4" s="237"/>
      <c r="G4" s="237"/>
      <c r="H4" s="237" t="str">
        <f ca="1">TEXT(E4,"dddd")</f>
        <v>Saturday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395.8</v>
      </c>
      <c r="C5" s="33">
        <f t="shared" si="0"/>
        <v>379.2</v>
      </c>
      <c r="D5" s="33">
        <f t="shared" si="0"/>
        <v>408.7</v>
      </c>
      <c r="E5" s="33">
        <f t="shared" si="0"/>
        <v>440.29999999999995</v>
      </c>
      <c r="F5" s="33">
        <f t="shared" si="0"/>
        <v>458.79999999999995</v>
      </c>
      <c r="G5" s="33">
        <f t="shared" si="0"/>
        <v>463.1</v>
      </c>
      <c r="H5" s="33">
        <f t="shared" si="0"/>
        <v>429.90000000000003</v>
      </c>
      <c r="I5" s="33">
        <f t="shared" si="0"/>
        <v>440.4</v>
      </c>
      <c r="J5" s="33">
        <f t="shared" si="0"/>
        <v>474.29999999999995</v>
      </c>
      <c r="K5" s="33">
        <f t="shared" si="0"/>
        <v>493.9</v>
      </c>
      <c r="L5" s="33">
        <f t="shared" si="0"/>
        <v>455.9</v>
      </c>
      <c r="M5" s="33">
        <f t="shared" si="0"/>
        <v>496.1</v>
      </c>
      <c r="N5" s="33">
        <f t="shared" si="0"/>
        <v>449</v>
      </c>
      <c r="O5" s="33">
        <f t="shared" si="0"/>
        <v>449.4</v>
      </c>
      <c r="P5" s="33">
        <f t="shared" si="0"/>
        <v>431.9</v>
      </c>
      <c r="Q5" s="33">
        <f t="shared" si="0"/>
        <v>417.5</v>
      </c>
      <c r="R5" s="33">
        <f t="shared" si="0"/>
        <v>437.9</v>
      </c>
      <c r="S5" s="33">
        <f t="shared" si="0"/>
        <v>483.9</v>
      </c>
      <c r="T5" s="33">
        <f t="shared" si="0"/>
        <v>483.3</v>
      </c>
      <c r="U5" s="33">
        <f t="shared" si="0"/>
        <v>502.5</v>
      </c>
      <c r="V5" s="33">
        <f t="shared" si="0"/>
        <v>499.5</v>
      </c>
      <c r="W5" s="33">
        <f t="shared" si="0"/>
        <v>480.5</v>
      </c>
      <c r="X5" s="33">
        <f t="shared" si="0"/>
        <v>397.1</v>
      </c>
      <c r="Y5" s="33">
        <f t="shared" si="0"/>
        <v>430.8</v>
      </c>
      <c r="Z5" s="33">
        <f t="shared" si="0"/>
        <v>359.3</v>
      </c>
      <c r="AA5" s="33">
        <f t="shared" si="0"/>
        <v>376.5</v>
      </c>
      <c r="AB5" s="33">
        <f t="shared" si="0"/>
        <v>370.7</v>
      </c>
      <c r="AC5" s="33">
        <f t="shared" si="0"/>
        <v>420.8</v>
      </c>
      <c r="AD5" s="33">
        <f t="shared" si="0"/>
        <v>425.2</v>
      </c>
      <c r="AE5" s="33">
        <f t="shared" si="0"/>
        <v>451.09999999999997</v>
      </c>
      <c r="AF5" s="33">
        <f>B82</f>
        <v>394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1345MW at 7:30hr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Load=1167</v>
      </c>
      <c r="B7" s="38">
        <f t="shared" ref="B7:AF7" si="1">B89</f>
        <v>1355.8400000000001</v>
      </c>
      <c r="C7" s="38">
        <f t="shared" si="1"/>
        <v>1274.94</v>
      </c>
      <c r="D7" s="38">
        <f t="shared" si="1"/>
        <v>1268.04</v>
      </c>
      <c r="E7" s="38">
        <f t="shared" si="1"/>
        <v>1221.74</v>
      </c>
      <c r="F7" s="38">
        <f t="shared" si="1"/>
        <v>1213.44</v>
      </c>
      <c r="G7" s="38">
        <f t="shared" si="1"/>
        <v>1232.04</v>
      </c>
      <c r="H7" s="38">
        <f t="shared" si="1"/>
        <v>1236.3400000000001</v>
      </c>
      <c r="I7" s="38">
        <f t="shared" si="1"/>
        <v>1167.1400000000001</v>
      </c>
      <c r="J7" s="38">
        <f t="shared" si="1"/>
        <v>1233.24</v>
      </c>
      <c r="K7" s="38">
        <f t="shared" si="1"/>
        <v>1304.74</v>
      </c>
      <c r="L7" s="38">
        <f t="shared" si="1"/>
        <v>1345.1399999999999</v>
      </c>
      <c r="M7" s="38">
        <f t="shared" si="1"/>
        <v>1317.74</v>
      </c>
      <c r="N7" s="38">
        <f>N89</f>
        <v>1339.3400000000001</v>
      </c>
      <c r="O7" s="38">
        <f t="shared" si="1"/>
        <v>1342.6399999999999</v>
      </c>
      <c r="P7" s="38">
        <f t="shared" si="1"/>
        <v>1355.75</v>
      </c>
      <c r="Q7" s="38">
        <f t="shared" si="1"/>
        <v>1361.29</v>
      </c>
      <c r="R7" s="38">
        <f t="shared" si="1"/>
        <v>1301.79</v>
      </c>
      <c r="S7" s="38">
        <f t="shared" si="1"/>
        <v>1373.2400000000002</v>
      </c>
      <c r="T7" s="38">
        <f t="shared" si="1"/>
        <v>1359.2399999999998</v>
      </c>
      <c r="U7" s="38">
        <f t="shared" si="1"/>
        <v>1378.24</v>
      </c>
      <c r="V7" s="38">
        <f t="shared" si="1"/>
        <v>1313.94</v>
      </c>
      <c r="W7" s="38">
        <f t="shared" si="1"/>
        <v>1281.04</v>
      </c>
      <c r="X7" s="38">
        <f t="shared" si="1"/>
        <v>1272.04</v>
      </c>
      <c r="Y7" s="38">
        <f t="shared" si="1"/>
        <v>1422.64</v>
      </c>
      <c r="Z7" s="38">
        <f t="shared" si="1"/>
        <v>1564.44</v>
      </c>
      <c r="AA7" s="38">
        <f t="shared" si="1"/>
        <v>1586.44</v>
      </c>
      <c r="AB7" s="38">
        <f t="shared" si="1"/>
        <v>1572.44</v>
      </c>
      <c r="AC7" s="38">
        <f t="shared" si="1"/>
        <v>1620.7400000000002</v>
      </c>
      <c r="AD7" s="38">
        <f t="shared" si="1"/>
        <v>1567.44</v>
      </c>
      <c r="AE7" s="38">
        <f t="shared" si="1"/>
        <v>1432.44</v>
      </c>
      <c r="AF7" s="38">
        <f t="shared" si="1"/>
        <v>1415.44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28</v>
      </c>
      <c r="C11" s="50">
        <v>28</v>
      </c>
      <c r="D11" s="50">
        <v>28</v>
      </c>
      <c r="E11" s="50">
        <v>28</v>
      </c>
      <c r="F11" s="50">
        <v>28</v>
      </c>
      <c r="G11" s="50">
        <v>28</v>
      </c>
      <c r="H11" s="50">
        <v>28</v>
      </c>
      <c r="I11" s="50">
        <v>28</v>
      </c>
      <c r="J11" s="50">
        <v>28</v>
      </c>
      <c r="K11" s="50">
        <v>28</v>
      </c>
      <c r="L11" s="50">
        <v>28</v>
      </c>
      <c r="M11" s="50">
        <v>28</v>
      </c>
      <c r="N11" s="50">
        <v>28</v>
      </c>
      <c r="O11" s="50">
        <v>28</v>
      </c>
      <c r="P11" s="50">
        <v>28</v>
      </c>
      <c r="Q11" s="50">
        <v>28</v>
      </c>
      <c r="R11" s="50">
        <v>28</v>
      </c>
      <c r="S11" s="50">
        <v>28</v>
      </c>
      <c r="T11" s="50">
        <v>28</v>
      </c>
      <c r="U11" s="50">
        <v>28</v>
      </c>
      <c r="V11" s="50">
        <v>28</v>
      </c>
      <c r="W11" s="50">
        <v>28</v>
      </c>
      <c r="X11" s="50">
        <v>28</v>
      </c>
      <c r="Y11" s="50">
        <v>28</v>
      </c>
      <c r="Z11" s="50">
        <v>28</v>
      </c>
      <c r="AA11" s="50">
        <v>28</v>
      </c>
      <c r="AB11" s="50">
        <v>18</v>
      </c>
      <c r="AC11" s="50">
        <v>18</v>
      </c>
      <c r="AD11" s="50">
        <v>22</v>
      </c>
      <c r="AE11" s="50">
        <v>22</v>
      </c>
      <c r="AF11" s="50">
        <v>22</v>
      </c>
      <c r="AG11" s="51">
        <v>86</v>
      </c>
      <c r="AH11" s="52">
        <f t="shared" ref="AH11:AH74" si="2">MAX(B11:AF11)</f>
        <v>28</v>
      </c>
      <c r="AI11" s="53">
        <f t="shared" ref="AI11:AI74" si="3">MIN(B11:AF11)</f>
        <v>18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0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1">
        <v>52.4</v>
      </c>
      <c r="AH12" s="52">
        <f t="shared" si="2"/>
        <v>0</v>
      </c>
      <c r="AI12" s="53">
        <f t="shared" si="3"/>
        <v>0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44</v>
      </c>
      <c r="C13" s="50">
        <v>44</v>
      </c>
      <c r="D13" s="50">
        <v>44</v>
      </c>
      <c r="E13" s="50">
        <v>44</v>
      </c>
      <c r="F13" s="50">
        <v>44</v>
      </c>
      <c r="G13" s="50">
        <v>44</v>
      </c>
      <c r="H13" s="50">
        <v>44</v>
      </c>
      <c r="I13" s="50">
        <v>44</v>
      </c>
      <c r="J13" s="50">
        <v>44</v>
      </c>
      <c r="K13" s="50">
        <v>44</v>
      </c>
      <c r="L13" s="50">
        <v>44</v>
      </c>
      <c r="M13" s="50">
        <v>44</v>
      </c>
      <c r="N13" s="50">
        <v>44</v>
      </c>
      <c r="O13" s="50">
        <v>44</v>
      </c>
      <c r="P13" s="50">
        <v>44</v>
      </c>
      <c r="Q13" s="50">
        <v>39.5</v>
      </c>
      <c r="R13" s="50">
        <v>39.5</v>
      </c>
      <c r="S13" s="50">
        <v>39.5</v>
      </c>
      <c r="T13" s="50">
        <v>39.5</v>
      </c>
      <c r="U13" s="50">
        <v>39.5</v>
      </c>
      <c r="V13" s="50">
        <v>39.5</v>
      </c>
      <c r="W13" s="50">
        <v>39.5</v>
      </c>
      <c r="X13" s="50">
        <v>39.5</v>
      </c>
      <c r="Y13" s="50">
        <v>39.5</v>
      </c>
      <c r="Z13" s="50">
        <v>39.5</v>
      </c>
      <c r="AA13" s="50">
        <v>39.5</v>
      </c>
      <c r="AB13" s="50">
        <v>39.5</v>
      </c>
      <c r="AC13" s="50">
        <v>39.5</v>
      </c>
      <c r="AD13" s="50">
        <v>39.5</v>
      </c>
      <c r="AE13" s="50">
        <v>39.5</v>
      </c>
      <c r="AF13" s="50">
        <v>39.5</v>
      </c>
      <c r="AG13" s="55">
        <v>50</v>
      </c>
      <c r="AH13" s="52">
        <f t="shared" si="2"/>
        <v>44</v>
      </c>
      <c r="AI13" s="53">
        <f t="shared" si="3"/>
        <v>39.5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17.8</v>
      </c>
      <c r="C14" s="50">
        <v>17.8</v>
      </c>
      <c r="D14" s="50">
        <v>17.8</v>
      </c>
      <c r="E14" s="50">
        <v>17.8</v>
      </c>
      <c r="F14" s="50">
        <v>17.8</v>
      </c>
      <c r="G14" s="50">
        <v>17.8</v>
      </c>
      <c r="H14" s="50">
        <v>17.8</v>
      </c>
      <c r="I14" s="50">
        <v>17.8</v>
      </c>
      <c r="J14" s="50">
        <v>17.8</v>
      </c>
      <c r="K14" s="50">
        <v>17.8</v>
      </c>
      <c r="L14" s="50">
        <v>17.8</v>
      </c>
      <c r="M14" s="50">
        <v>17.8</v>
      </c>
      <c r="N14" s="50">
        <v>17.8</v>
      </c>
      <c r="O14" s="50">
        <v>18.7</v>
      </c>
      <c r="P14" s="50">
        <v>18.2</v>
      </c>
      <c r="Q14" s="50">
        <v>18.7</v>
      </c>
      <c r="R14" s="50">
        <v>18.7</v>
      </c>
      <c r="S14" s="50">
        <v>18.7</v>
      </c>
      <c r="T14" s="50">
        <v>18.7</v>
      </c>
      <c r="U14" s="50">
        <v>18.7</v>
      </c>
      <c r="V14" s="50">
        <v>18.7</v>
      </c>
      <c r="W14" s="50">
        <v>18.7</v>
      </c>
      <c r="X14" s="50">
        <v>18.7</v>
      </c>
      <c r="Y14" s="50">
        <v>18.7</v>
      </c>
      <c r="Z14" s="50">
        <v>18.7</v>
      </c>
      <c r="AA14" s="50">
        <v>18.7</v>
      </c>
      <c r="AB14" s="50">
        <v>21.5</v>
      </c>
      <c r="AC14" s="50">
        <v>21.5</v>
      </c>
      <c r="AD14" s="50">
        <v>21.5</v>
      </c>
      <c r="AE14" s="50">
        <v>21.5</v>
      </c>
      <c r="AF14" s="50">
        <v>21.5</v>
      </c>
      <c r="AG14" s="55">
        <v>45</v>
      </c>
      <c r="AH14" s="52">
        <f t="shared" si="2"/>
        <v>21.5</v>
      </c>
      <c r="AI14" s="53">
        <f t="shared" si="3"/>
        <v>17.8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15</v>
      </c>
      <c r="C15" s="50">
        <v>15</v>
      </c>
      <c r="D15" s="50">
        <v>15</v>
      </c>
      <c r="E15" s="50">
        <v>15</v>
      </c>
      <c r="F15" s="50">
        <v>15</v>
      </c>
      <c r="G15" s="50">
        <v>15</v>
      </c>
      <c r="H15" s="50">
        <v>15</v>
      </c>
      <c r="I15" s="50">
        <v>15</v>
      </c>
      <c r="J15" s="50">
        <v>15</v>
      </c>
      <c r="K15" s="50">
        <v>15</v>
      </c>
      <c r="L15" s="50">
        <v>15</v>
      </c>
      <c r="M15" s="50">
        <v>15</v>
      </c>
      <c r="N15" s="50">
        <v>15</v>
      </c>
      <c r="O15" s="50">
        <v>15</v>
      </c>
      <c r="P15" s="50">
        <v>15</v>
      </c>
      <c r="Q15" s="50">
        <v>15</v>
      </c>
      <c r="R15" s="50">
        <v>15</v>
      </c>
      <c r="S15" s="50">
        <v>15</v>
      </c>
      <c r="T15" s="50">
        <v>15</v>
      </c>
      <c r="U15" s="50">
        <v>15</v>
      </c>
      <c r="V15" s="50">
        <v>15</v>
      </c>
      <c r="W15" s="50">
        <v>15</v>
      </c>
      <c r="X15" s="50">
        <v>15</v>
      </c>
      <c r="Y15" s="50">
        <v>15</v>
      </c>
      <c r="Z15" s="50">
        <v>15</v>
      </c>
      <c r="AA15" s="50">
        <v>15</v>
      </c>
      <c r="AB15" s="50">
        <v>15</v>
      </c>
      <c r="AC15" s="50">
        <v>19</v>
      </c>
      <c r="AD15" s="50">
        <v>19</v>
      </c>
      <c r="AE15" s="50">
        <v>19</v>
      </c>
      <c r="AF15" s="50">
        <v>19</v>
      </c>
      <c r="AG15" s="55">
        <v>42</v>
      </c>
      <c r="AH15" s="52">
        <f t="shared" si="2"/>
        <v>19</v>
      </c>
      <c r="AI15" s="53">
        <f t="shared" si="3"/>
        <v>15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21</v>
      </c>
      <c r="C16" s="50">
        <v>21</v>
      </c>
      <c r="D16" s="50">
        <v>21</v>
      </c>
      <c r="E16" s="50">
        <v>21</v>
      </c>
      <c r="F16" s="50">
        <v>21</v>
      </c>
      <c r="G16" s="50">
        <v>21</v>
      </c>
      <c r="H16" s="50">
        <v>21</v>
      </c>
      <c r="I16" s="50">
        <v>21</v>
      </c>
      <c r="J16" s="50">
        <v>21</v>
      </c>
      <c r="K16" s="50">
        <v>21</v>
      </c>
      <c r="L16" s="50">
        <v>21</v>
      </c>
      <c r="M16" s="50">
        <v>21</v>
      </c>
      <c r="N16" s="50">
        <v>21</v>
      </c>
      <c r="O16" s="50">
        <v>21</v>
      </c>
      <c r="P16" s="50">
        <v>21</v>
      </c>
      <c r="Q16" s="50">
        <v>20</v>
      </c>
      <c r="R16" s="50">
        <v>20</v>
      </c>
      <c r="S16" s="50">
        <v>20</v>
      </c>
      <c r="T16" s="50">
        <v>20</v>
      </c>
      <c r="U16" s="50">
        <v>20</v>
      </c>
      <c r="V16" s="50">
        <v>20</v>
      </c>
      <c r="W16" s="50">
        <v>20</v>
      </c>
      <c r="X16" s="50">
        <v>20</v>
      </c>
      <c r="Y16" s="50">
        <v>20</v>
      </c>
      <c r="Z16" s="50">
        <v>20</v>
      </c>
      <c r="AA16" s="50">
        <v>20</v>
      </c>
      <c r="AB16" s="50">
        <v>20</v>
      </c>
      <c r="AC16" s="50">
        <v>20</v>
      </c>
      <c r="AD16" s="50">
        <v>20</v>
      </c>
      <c r="AE16" s="50">
        <v>21</v>
      </c>
      <c r="AF16" s="50">
        <v>21</v>
      </c>
      <c r="AG16" s="55">
        <v>36</v>
      </c>
      <c r="AH16" s="52">
        <f t="shared" si="2"/>
        <v>21</v>
      </c>
      <c r="AI16" s="53">
        <f t="shared" si="3"/>
        <v>20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12.5</v>
      </c>
      <c r="C17" s="50">
        <v>12.5</v>
      </c>
      <c r="D17" s="50">
        <v>12.5</v>
      </c>
      <c r="E17" s="50">
        <v>12.5</v>
      </c>
      <c r="F17" s="50">
        <v>12.5</v>
      </c>
      <c r="G17" s="50">
        <v>12.5</v>
      </c>
      <c r="H17" s="50">
        <v>12.5</v>
      </c>
      <c r="I17" s="50">
        <v>12.5</v>
      </c>
      <c r="J17" s="50">
        <v>12.5</v>
      </c>
      <c r="K17" s="50">
        <v>12.5</v>
      </c>
      <c r="L17" s="50">
        <v>12.5</v>
      </c>
      <c r="M17" s="50">
        <v>12.5</v>
      </c>
      <c r="N17" s="50">
        <v>12.5</v>
      </c>
      <c r="O17" s="50">
        <v>12.5</v>
      </c>
      <c r="P17" s="50">
        <v>12.5</v>
      </c>
      <c r="Q17" s="50">
        <v>12.5</v>
      </c>
      <c r="R17" s="50">
        <v>12.5</v>
      </c>
      <c r="S17" s="50">
        <v>12.5</v>
      </c>
      <c r="T17" s="50">
        <v>12.5</v>
      </c>
      <c r="U17" s="50">
        <v>12.5</v>
      </c>
      <c r="V17" s="50">
        <v>12.5</v>
      </c>
      <c r="W17" s="50">
        <v>12.5</v>
      </c>
      <c r="X17" s="50">
        <v>12.5</v>
      </c>
      <c r="Y17" s="50">
        <v>12.5</v>
      </c>
      <c r="Z17" s="50">
        <v>12.5</v>
      </c>
      <c r="AA17" s="50">
        <v>12.5</v>
      </c>
      <c r="AB17" s="50">
        <v>12.5</v>
      </c>
      <c r="AC17" s="50">
        <v>12.5</v>
      </c>
      <c r="AD17" s="50">
        <v>12.5</v>
      </c>
      <c r="AE17" s="50">
        <v>12.5</v>
      </c>
      <c r="AF17" s="50">
        <v>12.5</v>
      </c>
      <c r="AG17" s="55">
        <v>36</v>
      </c>
      <c r="AH17" s="52">
        <f t="shared" si="2"/>
        <v>12.5</v>
      </c>
      <c r="AI17" s="53">
        <f t="shared" si="3"/>
        <v>12.5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11.4</v>
      </c>
      <c r="C18" s="50">
        <v>11.4</v>
      </c>
      <c r="D18" s="50">
        <v>11.4</v>
      </c>
      <c r="E18" s="50">
        <v>11.4</v>
      </c>
      <c r="F18" s="50">
        <v>11.4</v>
      </c>
      <c r="G18" s="50">
        <v>11.4</v>
      </c>
      <c r="H18" s="50">
        <v>11.4</v>
      </c>
      <c r="I18" s="50">
        <v>11.4</v>
      </c>
      <c r="J18" s="50">
        <v>11.4</v>
      </c>
      <c r="K18" s="50">
        <v>11.4</v>
      </c>
      <c r="L18" s="50">
        <v>11.4</v>
      </c>
      <c r="M18" s="50">
        <v>11.4</v>
      </c>
      <c r="N18" s="50">
        <v>11.4</v>
      </c>
      <c r="O18" s="50">
        <v>11.4</v>
      </c>
      <c r="P18" s="50">
        <v>11.4</v>
      </c>
      <c r="Q18" s="50">
        <v>11.4</v>
      </c>
      <c r="R18" s="50">
        <v>11.4</v>
      </c>
      <c r="S18" s="50">
        <v>11.4</v>
      </c>
      <c r="T18" s="50">
        <v>11.4</v>
      </c>
      <c r="U18" s="50">
        <v>11.4</v>
      </c>
      <c r="V18" s="50">
        <v>11.4</v>
      </c>
      <c r="W18" s="50">
        <v>11.4</v>
      </c>
      <c r="X18" s="50">
        <v>11.4</v>
      </c>
      <c r="Y18" s="50">
        <v>11.4</v>
      </c>
      <c r="Z18" s="50">
        <v>11.4</v>
      </c>
      <c r="AA18" s="50">
        <v>11.4</v>
      </c>
      <c r="AB18" s="50">
        <v>11.4</v>
      </c>
      <c r="AC18" s="50">
        <v>11.4</v>
      </c>
      <c r="AD18" s="50">
        <v>12.8</v>
      </c>
      <c r="AE18" s="50">
        <v>12.8</v>
      </c>
      <c r="AF18" s="50">
        <v>12.8</v>
      </c>
      <c r="AG18" s="56">
        <v>30</v>
      </c>
      <c r="AH18" s="52">
        <f t="shared" si="2"/>
        <v>12.8</v>
      </c>
      <c r="AI18" s="53">
        <f t="shared" si="3"/>
        <v>11.4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8.4</v>
      </c>
      <c r="C19" s="50">
        <v>8.4</v>
      </c>
      <c r="D19" s="50">
        <v>8.4</v>
      </c>
      <c r="E19" s="50">
        <v>8.4</v>
      </c>
      <c r="F19" s="50">
        <v>8.4</v>
      </c>
      <c r="G19" s="50">
        <v>8.4</v>
      </c>
      <c r="H19" s="50">
        <v>8.4</v>
      </c>
      <c r="I19" s="50">
        <v>8.4</v>
      </c>
      <c r="J19" s="50">
        <v>8.4</v>
      </c>
      <c r="K19" s="50">
        <v>8.4</v>
      </c>
      <c r="L19" s="50">
        <v>8.4</v>
      </c>
      <c r="M19" s="50">
        <v>7.5</v>
      </c>
      <c r="N19" s="50">
        <v>7.5</v>
      </c>
      <c r="O19" s="50">
        <v>7.5</v>
      </c>
      <c r="P19" s="50">
        <v>7.5</v>
      </c>
      <c r="Q19" s="50">
        <v>7.5</v>
      </c>
      <c r="R19" s="50">
        <v>7.5</v>
      </c>
      <c r="S19" s="50">
        <v>7.5</v>
      </c>
      <c r="T19" s="50">
        <v>7.5</v>
      </c>
      <c r="U19" s="50">
        <v>7.5</v>
      </c>
      <c r="V19" s="50">
        <v>7.5</v>
      </c>
      <c r="W19" s="50">
        <v>7.5</v>
      </c>
      <c r="X19" s="50">
        <v>7.5</v>
      </c>
      <c r="Y19" s="50">
        <v>7.5</v>
      </c>
      <c r="Z19" s="50">
        <v>7.5</v>
      </c>
      <c r="AA19" s="50">
        <v>7.5</v>
      </c>
      <c r="AB19" s="50">
        <v>7.5</v>
      </c>
      <c r="AC19" s="50">
        <v>7.5</v>
      </c>
      <c r="AD19" s="50">
        <v>7.5</v>
      </c>
      <c r="AE19" s="50">
        <v>7.5</v>
      </c>
      <c r="AF19" s="50">
        <v>7.5</v>
      </c>
      <c r="AG19" s="55">
        <v>24.2</v>
      </c>
      <c r="AH19" s="52">
        <f t="shared" si="2"/>
        <v>8.4</v>
      </c>
      <c r="AI19" s="53">
        <f t="shared" si="3"/>
        <v>7.5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9</v>
      </c>
      <c r="C20" s="50">
        <v>9</v>
      </c>
      <c r="D20" s="50">
        <v>9</v>
      </c>
      <c r="E20" s="50">
        <v>9</v>
      </c>
      <c r="F20" s="50">
        <v>9</v>
      </c>
      <c r="G20" s="50">
        <v>9</v>
      </c>
      <c r="H20" s="50">
        <v>9</v>
      </c>
      <c r="I20" s="50">
        <v>9</v>
      </c>
      <c r="J20" s="50">
        <v>9</v>
      </c>
      <c r="K20" s="50">
        <v>9</v>
      </c>
      <c r="L20" s="50">
        <v>9</v>
      </c>
      <c r="M20" s="50">
        <v>9</v>
      </c>
      <c r="N20" s="50">
        <v>9</v>
      </c>
      <c r="O20" s="50">
        <v>9</v>
      </c>
      <c r="P20" s="50">
        <v>9</v>
      </c>
      <c r="Q20" s="50">
        <v>8.5</v>
      </c>
      <c r="R20" s="50">
        <v>8.5</v>
      </c>
      <c r="S20" s="50">
        <v>8.5</v>
      </c>
      <c r="T20" s="50">
        <v>8.5</v>
      </c>
      <c r="U20" s="50">
        <v>8.5</v>
      </c>
      <c r="V20" s="50">
        <v>8.5</v>
      </c>
      <c r="W20" s="50">
        <v>8.5</v>
      </c>
      <c r="X20" s="50">
        <v>8.5</v>
      </c>
      <c r="Y20" s="50">
        <v>8.5</v>
      </c>
      <c r="Z20" s="50">
        <v>8.5</v>
      </c>
      <c r="AA20" s="50">
        <v>8.5</v>
      </c>
      <c r="AB20" s="50">
        <v>8.5</v>
      </c>
      <c r="AC20" s="50">
        <v>8.5</v>
      </c>
      <c r="AD20" s="50">
        <v>8.5</v>
      </c>
      <c r="AE20" s="50">
        <v>8.5</v>
      </c>
      <c r="AF20" s="50">
        <v>8.5</v>
      </c>
      <c r="AG20" s="55">
        <v>28</v>
      </c>
      <c r="AH20" s="52">
        <f t="shared" si="2"/>
        <v>9</v>
      </c>
      <c r="AI20" s="53">
        <f t="shared" si="3"/>
        <v>8.5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6.5</v>
      </c>
      <c r="C21" s="50">
        <v>6.5</v>
      </c>
      <c r="D21" s="50">
        <v>6.5</v>
      </c>
      <c r="E21" s="50">
        <v>6.5</v>
      </c>
      <c r="F21" s="50">
        <v>6.5</v>
      </c>
      <c r="G21" s="50">
        <v>6.5</v>
      </c>
      <c r="H21" s="50">
        <v>6.5</v>
      </c>
      <c r="I21" s="50">
        <v>6.5</v>
      </c>
      <c r="J21" s="50">
        <v>6.5</v>
      </c>
      <c r="K21" s="50">
        <v>6.5</v>
      </c>
      <c r="L21" s="50">
        <v>6.5</v>
      </c>
      <c r="M21" s="50">
        <v>6.5</v>
      </c>
      <c r="N21" s="50">
        <v>6.5</v>
      </c>
      <c r="O21" s="50">
        <v>6.5</v>
      </c>
      <c r="P21" s="50">
        <v>6.5</v>
      </c>
      <c r="Q21" s="50">
        <v>6.5</v>
      </c>
      <c r="R21" s="50">
        <v>6.5</v>
      </c>
      <c r="S21" s="50">
        <v>6.5</v>
      </c>
      <c r="T21" s="50">
        <v>6.5</v>
      </c>
      <c r="U21" s="50">
        <v>6.5</v>
      </c>
      <c r="V21" s="50">
        <v>6.5</v>
      </c>
      <c r="W21" s="50">
        <v>6.5</v>
      </c>
      <c r="X21" s="50">
        <v>6.5</v>
      </c>
      <c r="Y21" s="50">
        <v>6.5</v>
      </c>
      <c r="Z21" s="50">
        <v>6.5</v>
      </c>
      <c r="AA21" s="50">
        <v>6.5</v>
      </c>
      <c r="AB21" s="50">
        <v>6.5</v>
      </c>
      <c r="AC21" s="50">
        <v>6.5</v>
      </c>
      <c r="AD21" s="50">
        <v>6.5</v>
      </c>
      <c r="AE21" s="50">
        <v>6.5</v>
      </c>
      <c r="AF21" s="50">
        <v>6.5</v>
      </c>
      <c r="AG21" s="56">
        <v>30</v>
      </c>
      <c r="AH21" s="52">
        <f t="shared" si="2"/>
        <v>6.5</v>
      </c>
      <c r="AI21" s="53">
        <f t="shared" si="3"/>
        <v>6.5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12</v>
      </c>
      <c r="C22" s="50">
        <v>12</v>
      </c>
      <c r="D22" s="50">
        <v>12</v>
      </c>
      <c r="E22" s="50">
        <v>12</v>
      </c>
      <c r="F22" s="50">
        <v>12</v>
      </c>
      <c r="G22" s="50">
        <v>12</v>
      </c>
      <c r="H22" s="50">
        <v>12</v>
      </c>
      <c r="I22" s="50">
        <v>12</v>
      </c>
      <c r="J22" s="50">
        <v>12</v>
      </c>
      <c r="K22" s="50">
        <v>12</v>
      </c>
      <c r="L22" s="50">
        <v>12</v>
      </c>
      <c r="M22" s="50">
        <v>17</v>
      </c>
      <c r="N22" s="50">
        <v>17</v>
      </c>
      <c r="O22" s="50">
        <v>17</v>
      </c>
      <c r="P22" s="50">
        <v>17</v>
      </c>
      <c r="Q22" s="50">
        <v>17</v>
      </c>
      <c r="R22" s="50">
        <v>17</v>
      </c>
      <c r="S22" s="50">
        <v>11</v>
      </c>
      <c r="T22" s="50">
        <v>11</v>
      </c>
      <c r="U22" s="50">
        <v>11</v>
      </c>
      <c r="V22" s="50">
        <v>11</v>
      </c>
      <c r="W22" s="50">
        <v>11</v>
      </c>
      <c r="X22" s="50">
        <v>11</v>
      </c>
      <c r="Y22" s="50">
        <v>11</v>
      </c>
      <c r="Z22" s="50">
        <v>11</v>
      </c>
      <c r="AA22" s="50">
        <v>11</v>
      </c>
      <c r="AB22" s="50">
        <v>11</v>
      </c>
      <c r="AC22" s="50">
        <v>11</v>
      </c>
      <c r="AD22" s="50">
        <v>11</v>
      </c>
      <c r="AE22" s="50">
        <v>11</v>
      </c>
      <c r="AF22" s="50">
        <v>11</v>
      </c>
      <c r="AG22" s="55">
        <v>25</v>
      </c>
      <c r="AH22" s="52">
        <f t="shared" si="2"/>
        <v>17</v>
      </c>
      <c r="AI22" s="53">
        <f t="shared" si="3"/>
        <v>11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10</v>
      </c>
      <c r="C23" s="50">
        <v>10</v>
      </c>
      <c r="D23" s="50">
        <v>10</v>
      </c>
      <c r="E23" s="50">
        <v>10</v>
      </c>
      <c r="F23" s="50">
        <v>10</v>
      </c>
      <c r="G23" s="50">
        <v>10</v>
      </c>
      <c r="H23" s="50">
        <v>10</v>
      </c>
      <c r="I23" s="50">
        <v>10</v>
      </c>
      <c r="J23" s="50">
        <v>10</v>
      </c>
      <c r="K23" s="50">
        <v>10</v>
      </c>
      <c r="L23" s="50">
        <v>10</v>
      </c>
      <c r="M23" s="50">
        <v>10</v>
      </c>
      <c r="N23" s="50">
        <v>10</v>
      </c>
      <c r="O23" s="50">
        <v>10</v>
      </c>
      <c r="P23" s="50">
        <v>10</v>
      </c>
      <c r="Q23" s="50">
        <v>10</v>
      </c>
      <c r="R23" s="50">
        <v>10</v>
      </c>
      <c r="S23" s="50">
        <v>10</v>
      </c>
      <c r="T23" s="50">
        <v>10</v>
      </c>
      <c r="U23" s="50">
        <v>10</v>
      </c>
      <c r="V23" s="50">
        <v>10</v>
      </c>
      <c r="W23" s="50">
        <v>10</v>
      </c>
      <c r="X23" s="50">
        <v>10</v>
      </c>
      <c r="Y23" s="50">
        <v>10</v>
      </c>
      <c r="Z23" s="50">
        <v>10</v>
      </c>
      <c r="AA23" s="50">
        <v>10</v>
      </c>
      <c r="AB23" s="50">
        <v>10</v>
      </c>
      <c r="AC23" s="50">
        <v>10</v>
      </c>
      <c r="AD23" s="50">
        <v>10</v>
      </c>
      <c r="AE23" s="50">
        <v>10</v>
      </c>
      <c r="AF23" s="50">
        <v>10</v>
      </c>
      <c r="AG23" s="55">
        <v>25</v>
      </c>
      <c r="AH23" s="52">
        <f t="shared" si="2"/>
        <v>10</v>
      </c>
      <c r="AI23" s="53">
        <f t="shared" si="3"/>
        <v>10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7.5</v>
      </c>
      <c r="C24" s="50">
        <v>7.5</v>
      </c>
      <c r="D24" s="50">
        <v>7.5</v>
      </c>
      <c r="E24" s="50">
        <v>7.5</v>
      </c>
      <c r="F24" s="50">
        <v>7.5</v>
      </c>
      <c r="G24" s="50">
        <v>7.5</v>
      </c>
      <c r="H24" s="50">
        <v>7.5</v>
      </c>
      <c r="I24" s="50">
        <v>7.5</v>
      </c>
      <c r="J24" s="50">
        <v>7.5</v>
      </c>
      <c r="K24" s="50">
        <v>7.5</v>
      </c>
      <c r="L24" s="50">
        <v>7.5</v>
      </c>
      <c r="M24" s="50">
        <v>7.5</v>
      </c>
      <c r="N24" s="50">
        <v>7.5</v>
      </c>
      <c r="O24" s="50">
        <v>7.5</v>
      </c>
      <c r="P24" s="50">
        <v>7.5</v>
      </c>
      <c r="Q24" s="50">
        <v>7.5</v>
      </c>
      <c r="R24" s="50">
        <v>7.5</v>
      </c>
      <c r="S24" s="50">
        <v>7.5</v>
      </c>
      <c r="T24" s="50">
        <v>7.5</v>
      </c>
      <c r="U24" s="50">
        <v>7.5</v>
      </c>
      <c r="V24" s="50">
        <v>7.5</v>
      </c>
      <c r="W24" s="50">
        <v>7.5</v>
      </c>
      <c r="X24" s="50">
        <v>7.5</v>
      </c>
      <c r="Y24" s="50">
        <v>7.5</v>
      </c>
      <c r="Z24" s="50">
        <v>7.5</v>
      </c>
      <c r="AA24" s="50">
        <v>7.5</v>
      </c>
      <c r="AB24" s="50">
        <v>7.5</v>
      </c>
      <c r="AC24" s="50">
        <v>7.5</v>
      </c>
      <c r="AD24" s="50">
        <v>7.5</v>
      </c>
      <c r="AE24" s="50">
        <v>7.5</v>
      </c>
      <c r="AF24" s="50">
        <v>7.5</v>
      </c>
      <c r="AG24" s="55">
        <v>25</v>
      </c>
      <c r="AH24" s="52">
        <f t="shared" si="2"/>
        <v>7.5</v>
      </c>
      <c r="AI24" s="53">
        <f t="shared" si="3"/>
        <v>7.5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18</v>
      </c>
      <c r="C25" s="50">
        <v>18</v>
      </c>
      <c r="D25" s="50">
        <v>18</v>
      </c>
      <c r="E25" s="50">
        <v>18</v>
      </c>
      <c r="F25" s="50">
        <v>18</v>
      </c>
      <c r="G25" s="50">
        <v>18</v>
      </c>
      <c r="H25" s="50">
        <v>18</v>
      </c>
      <c r="I25" s="50">
        <v>18</v>
      </c>
      <c r="J25" s="50">
        <v>18</v>
      </c>
      <c r="K25" s="50">
        <v>18</v>
      </c>
      <c r="L25" s="50">
        <v>18</v>
      </c>
      <c r="M25" s="50">
        <v>18</v>
      </c>
      <c r="N25" s="50">
        <v>18</v>
      </c>
      <c r="O25" s="50">
        <v>18</v>
      </c>
      <c r="P25" s="50">
        <v>18</v>
      </c>
      <c r="Q25" s="50">
        <v>18</v>
      </c>
      <c r="R25" s="50">
        <v>18</v>
      </c>
      <c r="S25" s="50">
        <v>18</v>
      </c>
      <c r="T25" s="50">
        <v>18</v>
      </c>
      <c r="U25" s="50">
        <v>18</v>
      </c>
      <c r="V25" s="50">
        <v>18</v>
      </c>
      <c r="W25" s="50">
        <v>18</v>
      </c>
      <c r="X25" s="50">
        <v>18</v>
      </c>
      <c r="Y25" s="50">
        <v>18</v>
      </c>
      <c r="Z25" s="50">
        <v>18</v>
      </c>
      <c r="AA25" s="50">
        <v>18</v>
      </c>
      <c r="AB25" s="50">
        <v>18</v>
      </c>
      <c r="AC25" s="50">
        <v>18</v>
      </c>
      <c r="AD25" s="50">
        <v>18</v>
      </c>
      <c r="AE25" s="50">
        <v>18</v>
      </c>
      <c r="AF25" s="50">
        <v>18</v>
      </c>
      <c r="AG25" s="55">
        <v>25</v>
      </c>
      <c r="AH25" s="52">
        <f t="shared" si="2"/>
        <v>18</v>
      </c>
      <c r="AI25" s="53">
        <f t="shared" si="3"/>
        <v>18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5.8</v>
      </c>
      <c r="C26" s="50">
        <v>5.8</v>
      </c>
      <c r="D26" s="50">
        <v>5.8</v>
      </c>
      <c r="E26" s="50">
        <v>5.8</v>
      </c>
      <c r="F26" s="50">
        <v>5.8</v>
      </c>
      <c r="G26" s="50">
        <v>5.8</v>
      </c>
      <c r="H26" s="50">
        <v>5.8</v>
      </c>
      <c r="I26" s="50">
        <v>5.8</v>
      </c>
      <c r="J26" s="50">
        <v>5.8</v>
      </c>
      <c r="K26" s="50">
        <v>5.8</v>
      </c>
      <c r="L26" s="50">
        <v>5.8</v>
      </c>
      <c r="M26" s="50">
        <v>5.8</v>
      </c>
      <c r="N26" s="50">
        <v>5.8</v>
      </c>
      <c r="O26" s="50">
        <v>5.8</v>
      </c>
      <c r="P26" s="50">
        <v>5.8</v>
      </c>
      <c r="Q26" s="50">
        <v>5.8</v>
      </c>
      <c r="R26" s="50">
        <v>5.8</v>
      </c>
      <c r="S26" s="50">
        <v>5.8</v>
      </c>
      <c r="T26" s="50">
        <v>5.8</v>
      </c>
      <c r="U26" s="50">
        <v>5.8</v>
      </c>
      <c r="V26" s="50">
        <v>5.8</v>
      </c>
      <c r="W26" s="50">
        <v>5.8</v>
      </c>
      <c r="X26" s="50">
        <v>5.8</v>
      </c>
      <c r="Y26" s="50">
        <v>5.8</v>
      </c>
      <c r="Z26" s="50">
        <v>5.8</v>
      </c>
      <c r="AA26" s="50">
        <v>5.8</v>
      </c>
      <c r="AB26" s="50">
        <v>5.8</v>
      </c>
      <c r="AC26" s="50">
        <v>5.8</v>
      </c>
      <c r="AD26" s="50">
        <v>5.8</v>
      </c>
      <c r="AE26" s="50">
        <v>5.8</v>
      </c>
      <c r="AF26" s="50">
        <v>5.8</v>
      </c>
      <c r="AG26" s="55">
        <v>23.5</v>
      </c>
      <c r="AH26" s="52">
        <f t="shared" si="2"/>
        <v>5.8</v>
      </c>
      <c r="AI26" s="53">
        <f t="shared" si="3"/>
        <v>5.8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5">
        <v>22</v>
      </c>
      <c r="AH29" s="52">
        <f t="shared" si="2"/>
        <v>0</v>
      </c>
      <c r="AI29" s="53">
        <f t="shared" si="3"/>
        <v>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15</v>
      </c>
      <c r="C30" s="50">
        <v>15</v>
      </c>
      <c r="D30" s="50">
        <v>15</v>
      </c>
      <c r="E30" s="50">
        <v>15</v>
      </c>
      <c r="F30" s="50">
        <v>15</v>
      </c>
      <c r="G30" s="50">
        <v>15</v>
      </c>
      <c r="H30" s="50">
        <v>15</v>
      </c>
      <c r="I30" s="50">
        <v>15</v>
      </c>
      <c r="J30" s="50">
        <v>15</v>
      </c>
      <c r="K30" s="50">
        <v>15</v>
      </c>
      <c r="L30" s="50">
        <v>15</v>
      </c>
      <c r="M30" s="50">
        <v>15</v>
      </c>
      <c r="N30" s="50">
        <v>15</v>
      </c>
      <c r="O30" s="50">
        <v>15</v>
      </c>
      <c r="P30" s="50">
        <v>15</v>
      </c>
      <c r="Q30" s="50">
        <v>9.9</v>
      </c>
      <c r="R30" s="50">
        <v>9.9</v>
      </c>
      <c r="S30" s="50">
        <v>9.9</v>
      </c>
      <c r="T30" s="50">
        <v>9.9</v>
      </c>
      <c r="U30" s="50">
        <v>9.9</v>
      </c>
      <c r="V30" s="50">
        <v>9.9</v>
      </c>
      <c r="W30" s="50">
        <v>9.9</v>
      </c>
      <c r="X30" s="50">
        <v>9.9</v>
      </c>
      <c r="Y30" s="50">
        <v>9.9</v>
      </c>
      <c r="Z30" s="50">
        <v>9.9</v>
      </c>
      <c r="AA30" s="50">
        <v>9.9</v>
      </c>
      <c r="AB30" s="50">
        <v>9.9</v>
      </c>
      <c r="AC30" s="50">
        <v>9.9</v>
      </c>
      <c r="AD30" s="50">
        <v>9.9</v>
      </c>
      <c r="AE30" s="50">
        <v>9.9</v>
      </c>
      <c r="AF30" s="50">
        <v>9.9</v>
      </c>
      <c r="AG30" s="55">
        <v>22</v>
      </c>
      <c r="AH30" s="52">
        <f t="shared" si="2"/>
        <v>15</v>
      </c>
      <c r="AI30" s="53">
        <f t="shared" si="3"/>
        <v>9.9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6.4</v>
      </c>
      <c r="C32" s="50">
        <v>6.4</v>
      </c>
      <c r="D32" s="50">
        <v>6.4</v>
      </c>
      <c r="E32" s="50">
        <v>6.4</v>
      </c>
      <c r="F32" s="50">
        <v>6.4</v>
      </c>
      <c r="G32" s="50">
        <v>6.4</v>
      </c>
      <c r="H32" s="50">
        <v>6.4</v>
      </c>
      <c r="I32" s="50">
        <v>6.4</v>
      </c>
      <c r="J32" s="50">
        <v>6.4</v>
      </c>
      <c r="K32" s="50">
        <v>6.4</v>
      </c>
      <c r="L32" s="50">
        <v>6.4</v>
      </c>
      <c r="M32" s="50">
        <v>6.4</v>
      </c>
      <c r="N32" s="50">
        <v>6.4</v>
      </c>
      <c r="O32" s="50">
        <v>6.4</v>
      </c>
      <c r="P32" s="50">
        <v>6.4</v>
      </c>
      <c r="Q32" s="50">
        <v>6.4</v>
      </c>
      <c r="R32" s="50">
        <v>6.4</v>
      </c>
      <c r="S32" s="50">
        <v>6.4</v>
      </c>
      <c r="T32" s="50">
        <v>6.4</v>
      </c>
      <c r="U32" s="50">
        <v>6.4</v>
      </c>
      <c r="V32" s="50">
        <v>6.4</v>
      </c>
      <c r="W32" s="50">
        <v>6.4</v>
      </c>
      <c r="X32" s="50">
        <v>6.4</v>
      </c>
      <c r="Y32" s="50">
        <v>6.4</v>
      </c>
      <c r="Z32" s="50">
        <v>6.4</v>
      </c>
      <c r="AA32" s="50">
        <v>6.4</v>
      </c>
      <c r="AB32" s="50">
        <v>6.4</v>
      </c>
      <c r="AC32" s="50">
        <v>6.4</v>
      </c>
      <c r="AD32" s="50">
        <v>6.4</v>
      </c>
      <c r="AE32" s="50">
        <v>6.4</v>
      </c>
      <c r="AF32" s="50">
        <v>6.4</v>
      </c>
      <c r="AG32" s="55">
        <v>18</v>
      </c>
      <c r="AH32" s="52">
        <f t="shared" si="2"/>
        <v>6.4</v>
      </c>
      <c r="AI32" s="53">
        <f t="shared" si="3"/>
        <v>6.4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8.9</v>
      </c>
      <c r="C33" s="50">
        <v>8.9</v>
      </c>
      <c r="D33" s="50">
        <v>8.9</v>
      </c>
      <c r="E33" s="50">
        <v>8.9</v>
      </c>
      <c r="F33" s="50">
        <v>8.9</v>
      </c>
      <c r="G33" s="50">
        <v>8.9</v>
      </c>
      <c r="H33" s="50">
        <v>8.9</v>
      </c>
      <c r="I33" s="50">
        <v>8.9</v>
      </c>
      <c r="J33" s="50">
        <v>8.9</v>
      </c>
      <c r="K33" s="50">
        <v>8.9</v>
      </c>
      <c r="L33" s="50">
        <v>8.9</v>
      </c>
      <c r="M33" s="50">
        <v>8.9</v>
      </c>
      <c r="N33" s="50">
        <v>8.9</v>
      </c>
      <c r="O33" s="50">
        <v>8.9</v>
      </c>
      <c r="P33" s="50">
        <v>8.9</v>
      </c>
      <c r="Q33" s="50">
        <v>8.9</v>
      </c>
      <c r="R33" s="50">
        <v>8.9</v>
      </c>
      <c r="S33" s="50">
        <v>8.9</v>
      </c>
      <c r="T33" s="50">
        <v>8.9</v>
      </c>
      <c r="U33" s="50">
        <v>8.9</v>
      </c>
      <c r="V33" s="50">
        <v>8.9</v>
      </c>
      <c r="W33" s="50">
        <v>8.9</v>
      </c>
      <c r="X33" s="50">
        <v>8.9</v>
      </c>
      <c r="Y33" s="50">
        <v>8.9</v>
      </c>
      <c r="Z33" s="50">
        <v>8.9</v>
      </c>
      <c r="AA33" s="50">
        <v>8.9</v>
      </c>
      <c r="AB33" s="50">
        <v>8.9</v>
      </c>
      <c r="AC33" s="50">
        <v>8.9</v>
      </c>
      <c r="AD33" s="50">
        <v>8.9</v>
      </c>
      <c r="AE33" s="50">
        <v>8.9</v>
      </c>
      <c r="AF33" s="50">
        <v>8.9</v>
      </c>
      <c r="AG33" s="55">
        <v>14.9</v>
      </c>
      <c r="AH33" s="52">
        <f t="shared" si="2"/>
        <v>8.9</v>
      </c>
      <c r="AI33" s="53">
        <f t="shared" si="3"/>
        <v>8.9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5</v>
      </c>
      <c r="C38" s="50">
        <v>5</v>
      </c>
      <c r="D38" s="50">
        <v>5</v>
      </c>
      <c r="E38" s="50">
        <v>5</v>
      </c>
      <c r="F38" s="50">
        <v>5</v>
      </c>
      <c r="G38" s="50">
        <v>5</v>
      </c>
      <c r="H38" s="50">
        <v>5</v>
      </c>
      <c r="I38" s="50">
        <v>5</v>
      </c>
      <c r="J38" s="50">
        <v>5</v>
      </c>
      <c r="K38" s="50">
        <v>5</v>
      </c>
      <c r="L38" s="50">
        <v>5</v>
      </c>
      <c r="M38" s="50">
        <v>5</v>
      </c>
      <c r="N38" s="50">
        <v>5</v>
      </c>
      <c r="O38" s="50">
        <v>5</v>
      </c>
      <c r="P38" s="50">
        <v>5</v>
      </c>
      <c r="Q38" s="50">
        <v>5</v>
      </c>
      <c r="R38" s="50">
        <v>5</v>
      </c>
      <c r="S38" s="50">
        <v>4</v>
      </c>
      <c r="T38" s="50">
        <v>4</v>
      </c>
      <c r="U38" s="50">
        <v>4</v>
      </c>
      <c r="V38" s="50">
        <v>4</v>
      </c>
      <c r="W38" s="50">
        <v>4</v>
      </c>
      <c r="X38" s="50">
        <v>4</v>
      </c>
      <c r="Y38" s="50">
        <v>4</v>
      </c>
      <c r="Z38" s="50">
        <v>4</v>
      </c>
      <c r="AA38" s="50">
        <v>4</v>
      </c>
      <c r="AB38" s="50">
        <v>4</v>
      </c>
      <c r="AC38" s="50">
        <v>4</v>
      </c>
      <c r="AD38" s="50">
        <v>4</v>
      </c>
      <c r="AE38" s="50">
        <v>4</v>
      </c>
      <c r="AF38" s="50">
        <v>4</v>
      </c>
      <c r="AG38" s="55">
        <v>12</v>
      </c>
      <c r="AH38" s="52">
        <f t="shared" si="2"/>
        <v>5</v>
      </c>
      <c r="AI38" s="53">
        <f t="shared" si="3"/>
        <v>4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3.6</v>
      </c>
      <c r="C42" s="50">
        <v>3.6</v>
      </c>
      <c r="D42" s="50">
        <v>3.6</v>
      </c>
      <c r="E42" s="50">
        <v>3.6</v>
      </c>
      <c r="F42" s="50">
        <v>3.6</v>
      </c>
      <c r="G42" s="50">
        <v>3.6</v>
      </c>
      <c r="H42" s="50">
        <v>3.6</v>
      </c>
      <c r="I42" s="50">
        <v>3.6</v>
      </c>
      <c r="J42" s="50">
        <v>3.6</v>
      </c>
      <c r="K42" s="50">
        <v>3.6</v>
      </c>
      <c r="L42" s="50">
        <v>3.6</v>
      </c>
      <c r="M42" s="50">
        <v>3.6</v>
      </c>
      <c r="N42" s="50">
        <v>3.6</v>
      </c>
      <c r="O42" s="50">
        <v>3.6</v>
      </c>
      <c r="P42" s="50">
        <v>3.6</v>
      </c>
      <c r="Q42" s="50">
        <v>3.6</v>
      </c>
      <c r="R42" s="50">
        <v>3.6</v>
      </c>
      <c r="S42" s="50">
        <v>3.6</v>
      </c>
      <c r="T42" s="50">
        <v>3.6</v>
      </c>
      <c r="U42" s="50">
        <v>3.6</v>
      </c>
      <c r="V42" s="50">
        <v>3.6</v>
      </c>
      <c r="W42" s="50">
        <v>3.6</v>
      </c>
      <c r="X42" s="50">
        <v>3.6</v>
      </c>
      <c r="Y42" s="50">
        <v>3.6</v>
      </c>
      <c r="Z42" s="50">
        <v>3.6</v>
      </c>
      <c r="AA42" s="50">
        <v>3.6</v>
      </c>
      <c r="AB42" s="50">
        <v>3.6</v>
      </c>
      <c r="AC42" s="50">
        <v>3.6</v>
      </c>
      <c r="AD42" s="50">
        <v>3.6</v>
      </c>
      <c r="AE42" s="50">
        <v>3.6</v>
      </c>
      <c r="AF42" s="50">
        <v>3.6</v>
      </c>
      <c r="AG42" s="61">
        <v>11</v>
      </c>
      <c r="AH42" s="52">
        <f t="shared" si="2"/>
        <v>3.6</v>
      </c>
      <c r="AI42" s="53">
        <f t="shared" si="3"/>
        <v>3.6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50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3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150</v>
      </c>
      <c r="C46" s="63">
        <v>150</v>
      </c>
      <c r="D46" s="63">
        <v>150</v>
      </c>
      <c r="E46" s="63">
        <v>150</v>
      </c>
      <c r="F46" s="63">
        <v>150</v>
      </c>
      <c r="G46" s="63">
        <v>150</v>
      </c>
      <c r="H46" s="63">
        <v>150</v>
      </c>
      <c r="I46" s="63">
        <v>150</v>
      </c>
      <c r="J46" s="63">
        <v>150</v>
      </c>
      <c r="K46" s="63">
        <v>150</v>
      </c>
      <c r="L46" s="63">
        <v>150</v>
      </c>
      <c r="M46" s="63">
        <v>150</v>
      </c>
      <c r="N46" s="63">
        <v>150</v>
      </c>
      <c r="O46" s="63">
        <v>150</v>
      </c>
      <c r="P46" s="63">
        <v>150</v>
      </c>
      <c r="Q46" s="63">
        <v>150</v>
      </c>
      <c r="R46" s="63">
        <v>150</v>
      </c>
      <c r="S46" s="63">
        <v>150</v>
      </c>
      <c r="T46" s="63">
        <v>150</v>
      </c>
      <c r="U46" s="63">
        <v>150</v>
      </c>
      <c r="V46" s="63">
        <v>150</v>
      </c>
      <c r="W46" s="63">
        <v>150</v>
      </c>
      <c r="X46" s="63">
        <v>150</v>
      </c>
      <c r="Y46" s="63">
        <v>150</v>
      </c>
      <c r="Z46" s="63">
        <v>150</v>
      </c>
      <c r="AA46" s="63">
        <v>150</v>
      </c>
      <c r="AB46" s="63">
        <v>150</v>
      </c>
      <c r="AC46" s="63">
        <v>150</v>
      </c>
      <c r="AD46" s="63">
        <v>150</v>
      </c>
      <c r="AE46" s="63">
        <v>150</v>
      </c>
      <c r="AF46" s="63">
        <v>150</v>
      </c>
      <c r="AG46" s="61">
        <v>85</v>
      </c>
      <c r="AH46" s="52">
        <f t="shared" si="2"/>
        <v>150</v>
      </c>
      <c r="AI46" s="53">
        <f t="shared" si="3"/>
        <v>150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>SUM(B11:B46)</f>
        <v>457.1</v>
      </c>
      <c r="C48" s="67">
        <f t="shared" ref="C48:AF48" si="4">SUM(C11:C46)</f>
        <v>457.1</v>
      </c>
      <c r="D48" s="67">
        <f t="shared" si="4"/>
        <v>457.1</v>
      </c>
      <c r="E48" s="67">
        <f t="shared" si="4"/>
        <v>457.1</v>
      </c>
      <c r="F48" s="67">
        <f t="shared" si="4"/>
        <v>457.1</v>
      </c>
      <c r="G48" s="67">
        <f t="shared" si="4"/>
        <v>457.1</v>
      </c>
      <c r="H48" s="67">
        <f t="shared" si="4"/>
        <v>457.1</v>
      </c>
      <c r="I48" s="67">
        <f t="shared" si="4"/>
        <v>457.1</v>
      </c>
      <c r="J48" s="67">
        <f t="shared" si="4"/>
        <v>457.1</v>
      </c>
      <c r="K48" s="67">
        <f t="shared" si="4"/>
        <v>457.1</v>
      </c>
      <c r="L48" s="67">
        <f t="shared" si="4"/>
        <v>457.1</v>
      </c>
      <c r="M48" s="67">
        <f t="shared" si="4"/>
        <v>461.2</v>
      </c>
      <c r="N48" s="67">
        <f t="shared" si="4"/>
        <v>461.2</v>
      </c>
      <c r="O48" s="67">
        <f t="shared" si="4"/>
        <v>462.09999999999997</v>
      </c>
      <c r="P48" s="67">
        <f t="shared" si="4"/>
        <v>461.59999999999997</v>
      </c>
      <c r="Q48" s="67">
        <f t="shared" si="4"/>
        <v>451</v>
      </c>
      <c r="R48" s="67">
        <f t="shared" si="4"/>
        <v>451</v>
      </c>
      <c r="S48" s="67">
        <f t="shared" si="4"/>
        <v>444</v>
      </c>
      <c r="T48" s="67">
        <f t="shared" si="4"/>
        <v>444</v>
      </c>
      <c r="U48" s="67">
        <f t="shared" si="4"/>
        <v>444</v>
      </c>
      <c r="V48" s="67">
        <f t="shared" si="4"/>
        <v>444</v>
      </c>
      <c r="W48" s="67">
        <f t="shared" si="4"/>
        <v>444</v>
      </c>
      <c r="X48" s="67">
        <f t="shared" si="4"/>
        <v>444</v>
      </c>
      <c r="Y48" s="67">
        <f t="shared" si="4"/>
        <v>444</v>
      </c>
      <c r="Z48" s="67">
        <f t="shared" si="4"/>
        <v>444</v>
      </c>
      <c r="AA48" s="67">
        <f t="shared" si="4"/>
        <v>444</v>
      </c>
      <c r="AB48" s="67">
        <f t="shared" si="4"/>
        <v>436.80000000000007</v>
      </c>
      <c r="AC48" s="67">
        <f t="shared" si="4"/>
        <v>440.80000000000007</v>
      </c>
      <c r="AD48" s="67">
        <f t="shared" si="4"/>
        <v>446.20000000000005</v>
      </c>
      <c r="AE48" s="67">
        <f t="shared" si="4"/>
        <v>447.20000000000005</v>
      </c>
      <c r="AF48" s="67">
        <f t="shared" si="4"/>
        <v>447.20000000000005</v>
      </c>
      <c r="AG48" s="68">
        <f t="shared" ref="AG48" si="5">SUM(AG12:AG46)</f>
        <v>875.68</v>
      </c>
      <c r="AH48" s="52">
        <f t="shared" si="2"/>
        <v>462.09999999999997</v>
      </c>
      <c r="AI48" s="53">
        <f t="shared" si="3"/>
        <v>436.80000000000007</v>
      </c>
      <c r="AK48" s="54"/>
    </row>
    <row r="49" spans="1:41" x14ac:dyDescent="0.25">
      <c r="A49" s="69" t="s">
        <v>57</v>
      </c>
      <c r="B49" s="50">
        <v>170</v>
      </c>
      <c r="C49" s="50">
        <v>120</v>
      </c>
      <c r="D49" s="50">
        <v>140</v>
      </c>
      <c r="E49" s="50">
        <v>110</v>
      </c>
      <c r="F49" s="50">
        <v>70</v>
      </c>
      <c r="G49" s="50">
        <v>70</v>
      </c>
      <c r="H49" s="50">
        <v>70</v>
      </c>
      <c r="I49" s="50">
        <v>50</v>
      </c>
      <c r="J49" s="50">
        <v>15</v>
      </c>
      <c r="K49" s="50">
        <v>50</v>
      </c>
      <c r="L49" s="50">
        <v>50</v>
      </c>
      <c r="M49" s="70">
        <v>50</v>
      </c>
      <c r="N49" s="70">
        <v>50</v>
      </c>
      <c r="O49" s="70">
        <v>70</v>
      </c>
      <c r="P49" s="70">
        <v>90</v>
      </c>
      <c r="Q49" s="50">
        <v>85</v>
      </c>
      <c r="R49" s="50">
        <v>60</v>
      </c>
      <c r="S49" s="50">
        <v>70</v>
      </c>
      <c r="T49" s="50">
        <v>70</v>
      </c>
      <c r="U49" s="50">
        <v>0</v>
      </c>
      <c r="V49" s="50">
        <v>0</v>
      </c>
      <c r="W49" s="50">
        <v>0</v>
      </c>
      <c r="X49" s="50">
        <v>15</v>
      </c>
      <c r="Y49" s="50">
        <v>110</v>
      </c>
      <c r="Z49" s="50">
        <v>150</v>
      </c>
      <c r="AA49" s="50">
        <v>180</v>
      </c>
      <c r="AB49" s="50">
        <v>300</v>
      </c>
      <c r="AC49" s="50">
        <v>300</v>
      </c>
      <c r="AD49" s="50">
        <v>200</v>
      </c>
      <c r="AE49" s="50">
        <v>210</v>
      </c>
      <c r="AF49" s="50">
        <v>160</v>
      </c>
      <c r="AG49" s="56">
        <v>456</v>
      </c>
      <c r="AH49" s="52">
        <f t="shared" si="2"/>
        <v>300</v>
      </c>
      <c r="AI49" s="53">
        <f t="shared" si="3"/>
        <v>0</v>
      </c>
      <c r="AK49" s="54"/>
    </row>
    <row r="50" spans="1:41" x14ac:dyDescent="0.25">
      <c r="A50" s="71" t="s">
        <v>58</v>
      </c>
      <c r="B50" s="72">
        <v>32</v>
      </c>
      <c r="C50" s="72">
        <v>32</v>
      </c>
      <c r="D50" s="72">
        <v>32</v>
      </c>
      <c r="E50" s="72">
        <v>32</v>
      </c>
      <c r="F50" s="72">
        <v>32</v>
      </c>
      <c r="G50" s="72">
        <v>32</v>
      </c>
      <c r="H50" s="72">
        <v>32</v>
      </c>
      <c r="I50" s="72">
        <v>32</v>
      </c>
      <c r="J50" s="72">
        <v>32</v>
      </c>
      <c r="K50" s="72">
        <v>32</v>
      </c>
      <c r="L50" s="72">
        <v>32</v>
      </c>
      <c r="M50" s="72">
        <v>32</v>
      </c>
      <c r="N50" s="72">
        <v>32</v>
      </c>
      <c r="O50" s="72">
        <v>32</v>
      </c>
      <c r="P50" s="72">
        <v>32</v>
      </c>
      <c r="Q50" s="72">
        <v>32</v>
      </c>
      <c r="R50" s="72">
        <v>32</v>
      </c>
      <c r="S50" s="72">
        <v>32</v>
      </c>
      <c r="T50" s="72">
        <v>32</v>
      </c>
      <c r="U50" s="72">
        <v>32</v>
      </c>
      <c r="V50" s="72">
        <v>32</v>
      </c>
      <c r="W50" s="72">
        <v>32</v>
      </c>
      <c r="X50" s="72">
        <v>32</v>
      </c>
      <c r="Y50" s="72">
        <v>32</v>
      </c>
      <c r="Z50" s="72">
        <v>32</v>
      </c>
      <c r="AA50" s="72">
        <v>32</v>
      </c>
      <c r="AB50" s="72">
        <v>32</v>
      </c>
      <c r="AC50" s="72">
        <v>32</v>
      </c>
      <c r="AD50" s="72">
        <v>32</v>
      </c>
      <c r="AE50" s="72">
        <v>32</v>
      </c>
      <c r="AF50" s="72">
        <v>32</v>
      </c>
      <c r="AG50" s="61">
        <v>60</v>
      </c>
      <c r="AH50" s="52">
        <f t="shared" si="2"/>
        <v>32</v>
      </c>
      <c r="AI50" s="53">
        <f t="shared" si="3"/>
        <v>32</v>
      </c>
      <c r="AK50" s="54"/>
    </row>
    <row r="51" spans="1:41" ht="15.75" thickBot="1" x14ac:dyDescent="0.3">
      <c r="A51" s="73" t="s">
        <v>59</v>
      </c>
      <c r="B51" s="74">
        <v>15.1</v>
      </c>
      <c r="C51" s="74">
        <v>15.1</v>
      </c>
      <c r="D51" s="74">
        <v>15.1</v>
      </c>
      <c r="E51" s="74">
        <v>15.3</v>
      </c>
      <c r="F51" s="74">
        <v>15.2</v>
      </c>
      <c r="G51" s="74">
        <v>15.3</v>
      </c>
      <c r="H51" s="74">
        <v>15.3</v>
      </c>
      <c r="I51" s="74">
        <v>15.2</v>
      </c>
      <c r="J51" s="74">
        <v>15.2</v>
      </c>
      <c r="K51" s="74">
        <v>15.2</v>
      </c>
      <c r="L51" s="74">
        <v>15.2</v>
      </c>
      <c r="M51" s="74">
        <v>15</v>
      </c>
      <c r="N51" s="74">
        <v>15</v>
      </c>
      <c r="O51" s="74">
        <v>15</v>
      </c>
      <c r="P51" s="74">
        <v>15</v>
      </c>
      <c r="Q51" s="74">
        <v>15</v>
      </c>
      <c r="R51" s="74">
        <v>15</v>
      </c>
      <c r="S51" s="74">
        <v>12.6</v>
      </c>
      <c r="T51" s="74">
        <v>12.5</v>
      </c>
      <c r="U51" s="74">
        <v>12.5</v>
      </c>
      <c r="V51" s="74">
        <v>12.5</v>
      </c>
      <c r="W51" s="74">
        <v>12.5</v>
      </c>
      <c r="X51" s="74">
        <v>12.5</v>
      </c>
      <c r="Y51" s="74">
        <v>12.5</v>
      </c>
      <c r="Z51" s="74">
        <v>14.6</v>
      </c>
      <c r="AA51" s="74">
        <v>16.100000000000001</v>
      </c>
      <c r="AB51" s="74">
        <v>16.100000000000001</v>
      </c>
      <c r="AC51" s="74">
        <v>16.100000000000001</v>
      </c>
      <c r="AD51" s="74">
        <v>16.100000000000001</v>
      </c>
      <c r="AE51" s="74">
        <v>16.100000000000001</v>
      </c>
      <c r="AF51" s="74">
        <v>16.100000000000001</v>
      </c>
      <c r="AG51" s="75">
        <v>22.1</v>
      </c>
      <c r="AH51" s="52">
        <f t="shared" si="2"/>
        <v>16.100000000000001</v>
      </c>
      <c r="AI51" s="53">
        <f t="shared" si="3"/>
        <v>12.5</v>
      </c>
      <c r="AK51" s="54"/>
    </row>
    <row r="52" spans="1:41" ht="15.75" thickBot="1" x14ac:dyDescent="0.3">
      <c r="A52" s="76" t="s">
        <v>60</v>
      </c>
      <c r="B52" s="67">
        <f t="shared" ref="B52:AG52" si="6">SUM(B49:B51)</f>
        <v>217.1</v>
      </c>
      <c r="C52" s="67">
        <f t="shared" si="6"/>
        <v>167.1</v>
      </c>
      <c r="D52" s="67">
        <f t="shared" si="6"/>
        <v>187.1</v>
      </c>
      <c r="E52" s="67">
        <f t="shared" si="6"/>
        <v>157.30000000000001</v>
      </c>
      <c r="F52" s="67">
        <f t="shared" si="6"/>
        <v>117.2</v>
      </c>
      <c r="G52" s="67">
        <f t="shared" si="6"/>
        <v>117.3</v>
      </c>
      <c r="H52" s="67">
        <f t="shared" si="6"/>
        <v>117.3</v>
      </c>
      <c r="I52" s="67">
        <f t="shared" si="6"/>
        <v>97.2</v>
      </c>
      <c r="J52" s="67">
        <f t="shared" si="6"/>
        <v>62.2</v>
      </c>
      <c r="K52" s="67">
        <f t="shared" si="6"/>
        <v>97.2</v>
      </c>
      <c r="L52" s="67">
        <f t="shared" si="6"/>
        <v>97.2</v>
      </c>
      <c r="M52" s="67">
        <f t="shared" si="6"/>
        <v>97</v>
      </c>
      <c r="N52" s="67">
        <f t="shared" si="6"/>
        <v>97</v>
      </c>
      <c r="O52" s="67">
        <f t="shared" si="6"/>
        <v>117</v>
      </c>
      <c r="P52" s="67">
        <f t="shared" si="6"/>
        <v>137</v>
      </c>
      <c r="Q52" s="67">
        <f t="shared" si="6"/>
        <v>132</v>
      </c>
      <c r="R52" s="67">
        <f t="shared" si="6"/>
        <v>107</v>
      </c>
      <c r="S52" s="67">
        <f t="shared" si="6"/>
        <v>114.6</v>
      </c>
      <c r="T52" s="67">
        <f t="shared" si="6"/>
        <v>114.5</v>
      </c>
      <c r="U52" s="67">
        <f t="shared" si="6"/>
        <v>44.5</v>
      </c>
      <c r="V52" s="67">
        <f t="shared" si="6"/>
        <v>44.5</v>
      </c>
      <c r="W52" s="67">
        <f t="shared" si="6"/>
        <v>44.5</v>
      </c>
      <c r="X52" s="67">
        <f t="shared" si="6"/>
        <v>59.5</v>
      </c>
      <c r="Y52" s="67">
        <f t="shared" si="6"/>
        <v>154.5</v>
      </c>
      <c r="Z52" s="67">
        <f t="shared" si="6"/>
        <v>196.6</v>
      </c>
      <c r="AA52" s="67">
        <f t="shared" si="6"/>
        <v>228.1</v>
      </c>
      <c r="AB52" s="67">
        <f t="shared" si="6"/>
        <v>348.1</v>
      </c>
      <c r="AC52" s="67">
        <f t="shared" si="6"/>
        <v>348.1</v>
      </c>
      <c r="AD52" s="67">
        <f t="shared" si="6"/>
        <v>248.1</v>
      </c>
      <c r="AE52" s="67">
        <f t="shared" si="6"/>
        <v>258.10000000000002</v>
      </c>
      <c r="AF52" s="67">
        <f t="shared" si="6"/>
        <v>208.1</v>
      </c>
      <c r="AG52" s="68">
        <f t="shared" si="6"/>
        <v>538.1</v>
      </c>
      <c r="AH52" s="52">
        <f t="shared" si="2"/>
        <v>348.1</v>
      </c>
      <c r="AI52" s="53">
        <f t="shared" si="3"/>
        <v>44.5</v>
      </c>
      <c r="AK52" s="54"/>
    </row>
    <row r="53" spans="1:41" x14ac:dyDescent="0.25">
      <c r="A53" s="49" t="s">
        <v>61</v>
      </c>
      <c r="B53" s="50">
        <v>93</v>
      </c>
      <c r="C53" s="50">
        <v>81.7</v>
      </c>
      <c r="D53" s="50">
        <v>81.7</v>
      </c>
      <c r="E53" s="50">
        <v>71.2</v>
      </c>
      <c r="F53" s="50">
        <v>71.599999999999994</v>
      </c>
      <c r="G53" s="50">
        <v>71.400000000000006</v>
      </c>
      <c r="H53" s="50">
        <v>71.400000000000006</v>
      </c>
      <c r="I53" s="50">
        <v>60</v>
      </c>
      <c r="J53" s="50">
        <v>30.6</v>
      </c>
      <c r="K53" s="50">
        <v>30.4</v>
      </c>
      <c r="L53" s="50">
        <v>40</v>
      </c>
      <c r="M53" s="50">
        <v>48</v>
      </c>
      <c r="N53" s="50">
        <v>36</v>
      </c>
      <c r="O53" s="50">
        <v>36</v>
      </c>
      <c r="P53" s="50">
        <v>71.5</v>
      </c>
      <c r="Q53" s="50">
        <v>92.1</v>
      </c>
      <c r="R53" s="50">
        <v>71</v>
      </c>
      <c r="S53" s="50">
        <v>71.7</v>
      </c>
      <c r="T53" s="50">
        <v>65.3</v>
      </c>
      <c r="U53" s="50">
        <v>91.2</v>
      </c>
      <c r="V53" s="50">
        <v>91.2</v>
      </c>
      <c r="W53" s="50">
        <v>63</v>
      </c>
      <c r="X53" s="50">
        <v>63</v>
      </c>
      <c r="Y53" s="50">
        <v>82.6</v>
      </c>
      <c r="Z53" s="50">
        <v>140.9</v>
      </c>
      <c r="AA53" s="50">
        <v>142</v>
      </c>
      <c r="AB53" s="50">
        <v>63.6</v>
      </c>
      <c r="AC53" s="50">
        <v>96.8</v>
      </c>
      <c r="AD53" s="50">
        <v>96.8</v>
      </c>
      <c r="AE53" s="50">
        <v>71.400000000000006</v>
      </c>
      <c r="AF53" s="50">
        <v>62.3</v>
      </c>
      <c r="AG53" s="56">
        <v>144</v>
      </c>
      <c r="AH53" s="52">
        <f t="shared" si="2"/>
        <v>142</v>
      </c>
      <c r="AI53" s="53">
        <f t="shared" si="3"/>
        <v>30.4</v>
      </c>
      <c r="AK53" s="54"/>
    </row>
    <row r="54" spans="1:41" x14ac:dyDescent="0.25">
      <c r="A54" s="60" t="s">
        <v>62</v>
      </c>
      <c r="B54" s="72">
        <v>22.9</v>
      </c>
      <c r="C54" s="72">
        <v>22.9</v>
      </c>
      <c r="D54" s="72">
        <v>22.9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35</v>
      </c>
      <c r="P54" s="72">
        <v>35</v>
      </c>
      <c r="Q54" s="72">
        <v>35</v>
      </c>
      <c r="R54" s="72">
        <v>60</v>
      </c>
      <c r="S54" s="50">
        <v>63.3</v>
      </c>
      <c r="T54" s="50">
        <v>60.5</v>
      </c>
      <c r="U54" s="50">
        <v>47.7</v>
      </c>
      <c r="V54" s="50">
        <v>47.7</v>
      </c>
      <c r="W54" s="50">
        <v>48</v>
      </c>
      <c r="X54" s="50">
        <v>48</v>
      </c>
      <c r="Y54" s="50">
        <v>47.6</v>
      </c>
      <c r="Z54" s="50">
        <v>58.6</v>
      </c>
      <c r="AA54" s="50">
        <v>61</v>
      </c>
      <c r="AB54" s="50">
        <v>49.2</v>
      </c>
      <c r="AC54" s="50">
        <v>49.2</v>
      </c>
      <c r="AD54" s="50">
        <v>49.2</v>
      </c>
      <c r="AE54" s="50">
        <v>49.2</v>
      </c>
      <c r="AF54" s="72">
        <v>42.7</v>
      </c>
      <c r="AG54" s="61">
        <v>70</v>
      </c>
      <c r="AH54" s="52">
        <f t="shared" si="2"/>
        <v>63.3</v>
      </c>
      <c r="AI54" s="53">
        <f t="shared" si="3"/>
        <v>0</v>
      </c>
      <c r="AK54" s="54"/>
    </row>
    <row r="55" spans="1:41" x14ac:dyDescent="0.25">
      <c r="A55" s="60" t="s">
        <v>63</v>
      </c>
      <c r="B55" s="72">
        <v>49.5</v>
      </c>
      <c r="C55" s="72">
        <v>49.5</v>
      </c>
      <c r="D55" s="72">
        <v>34.299999999999997</v>
      </c>
      <c r="E55" s="72">
        <v>34.299999999999997</v>
      </c>
      <c r="F55" s="72">
        <v>34.299999999999997</v>
      </c>
      <c r="G55" s="72">
        <v>34.5</v>
      </c>
      <c r="H55" s="72">
        <v>34.5</v>
      </c>
      <c r="I55" s="72">
        <v>34.5</v>
      </c>
      <c r="J55" s="72">
        <v>34.5</v>
      </c>
      <c r="K55" s="72">
        <v>34.4</v>
      </c>
      <c r="L55" s="72">
        <v>43.3</v>
      </c>
      <c r="M55" s="72">
        <v>42</v>
      </c>
      <c r="N55" s="72">
        <v>40.5</v>
      </c>
      <c r="O55" s="72">
        <v>40</v>
      </c>
      <c r="P55" s="72">
        <v>55</v>
      </c>
      <c r="Q55" s="72">
        <v>55</v>
      </c>
      <c r="R55" s="72">
        <v>36</v>
      </c>
      <c r="S55" s="50">
        <v>34.6</v>
      </c>
      <c r="T55" s="50">
        <v>34.1</v>
      </c>
      <c r="U55" s="50">
        <v>46.4</v>
      </c>
      <c r="V55" s="50">
        <v>19</v>
      </c>
      <c r="W55" s="50">
        <v>19</v>
      </c>
      <c r="X55" s="50">
        <v>19</v>
      </c>
      <c r="Y55" s="50">
        <v>19.8</v>
      </c>
      <c r="Z55" s="50">
        <v>19.7</v>
      </c>
      <c r="AA55" s="50">
        <v>46.4</v>
      </c>
      <c r="AB55" s="50">
        <v>34.299999999999997</v>
      </c>
      <c r="AC55" s="50">
        <v>45.8</v>
      </c>
      <c r="AD55" s="50">
        <v>37</v>
      </c>
      <c r="AE55" s="50">
        <v>37</v>
      </c>
      <c r="AF55" s="72">
        <v>53.6</v>
      </c>
      <c r="AG55" s="61">
        <v>69</v>
      </c>
      <c r="AH55" s="52">
        <f t="shared" si="2"/>
        <v>55</v>
      </c>
      <c r="AI55" s="53">
        <f t="shared" si="3"/>
        <v>19</v>
      </c>
      <c r="AK55" s="54"/>
    </row>
    <row r="56" spans="1:41" x14ac:dyDescent="0.25">
      <c r="A56" s="60" t="s">
        <v>64</v>
      </c>
      <c r="B56" s="72">
        <v>45.3</v>
      </c>
      <c r="C56" s="72">
        <v>45.3</v>
      </c>
      <c r="D56" s="72">
        <v>50.2</v>
      </c>
      <c r="E56" s="63">
        <v>50.2</v>
      </c>
      <c r="F56" s="63">
        <v>50</v>
      </c>
      <c r="G56" s="63">
        <v>50</v>
      </c>
      <c r="H56" s="63">
        <v>50</v>
      </c>
      <c r="I56" s="63">
        <v>48.1</v>
      </c>
      <c r="J56" s="63">
        <v>48.1</v>
      </c>
      <c r="K56" s="63">
        <v>46.6</v>
      </c>
      <c r="L56" s="63">
        <v>46.6</v>
      </c>
      <c r="M56" s="63">
        <v>46.6</v>
      </c>
      <c r="N56" s="63">
        <v>46.5</v>
      </c>
      <c r="O56" s="63">
        <v>46.5</v>
      </c>
      <c r="P56" s="72">
        <v>34.5</v>
      </c>
      <c r="Q56" s="72">
        <v>34.35</v>
      </c>
      <c r="R56" s="72">
        <v>34.35</v>
      </c>
      <c r="S56" s="50">
        <v>29.2</v>
      </c>
      <c r="T56" s="50">
        <v>29.2</v>
      </c>
      <c r="U56" s="50">
        <v>58.2</v>
      </c>
      <c r="V56" s="50">
        <v>42</v>
      </c>
      <c r="W56" s="50">
        <v>42</v>
      </c>
      <c r="X56" s="50">
        <v>42</v>
      </c>
      <c r="Y56" s="50">
        <v>42.3</v>
      </c>
      <c r="Z56" s="50">
        <v>42.3</v>
      </c>
      <c r="AA56" s="50">
        <v>41.3</v>
      </c>
      <c r="AB56" s="50">
        <v>41.3</v>
      </c>
      <c r="AC56" s="50">
        <v>41.3</v>
      </c>
      <c r="AD56" s="50">
        <v>41.3</v>
      </c>
      <c r="AE56" s="50">
        <v>41.3</v>
      </c>
      <c r="AF56" s="72">
        <v>47.4</v>
      </c>
      <c r="AG56" s="61">
        <v>60</v>
      </c>
      <c r="AH56" s="52">
        <f t="shared" si="2"/>
        <v>58.2</v>
      </c>
      <c r="AI56" s="53">
        <f t="shared" si="3"/>
        <v>29.2</v>
      </c>
      <c r="AK56" s="54"/>
    </row>
    <row r="57" spans="1:41" x14ac:dyDescent="0.25">
      <c r="A57" s="60" t="s">
        <v>65</v>
      </c>
      <c r="B57" s="72">
        <v>12.6</v>
      </c>
      <c r="C57" s="72">
        <v>12.6</v>
      </c>
      <c r="D57" s="72">
        <v>12.6</v>
      </c>
      <c r="E57" s="63">
        <v>0</v>
      </c>
      <c r="F57" s="63">
        <v>0</v>
      </c>
      <c r="G57" s="63">
        <v>0</v>
      </c>
      <c r="H57" s="63">
        <v>0</v>
      </c>
      <c r="I57" s="63">
        <v>0</v>
      </c>
      <c r="J57" s="63">
        <v>0</v>
      </c>
      <c r="K57" s="63">
        <v>0</v>
      </c>
      <c r="L57" s="63">
        <v>0</v>
      </c>
      <c r="M57" s="63">
        <v>0</v>
      </c>
      <c r="N57" s="63">
        <v>15</v>
      </c>
      <c r="O57" s="63">
        <v>10</v>
      </c>
      <c r="P57" s="72">
        <v>14.6</v>
      </c>
      <c r="Q57" s="72">
        <v>25</v>
      </c>
      <c r="R57" s="72">
        <v>20</v>
      </c>
      <c r="S57" s="50">
        <v>28</v>
      </c>
      <c r="T57" s="50">
        <v>15</v>
      </c>
      <c r="U57" s="50">
        <v>14.9</v>
      </c>
      <c r="V57" s="50">
        <v>14.9</v>
      </c>
      <c r="W57" s="50">
        <v>14.9</v>
      </c>
      <c r="X57" s="50">
        <v>14.9</v>
      </c>
      <c r="Y57" s="50">
        <v>0</v>
      </c>
      <c r="Z57" s="50">
        <v>0</v>
      </c>
      <c r="AA57" s="50">
        <v>9.6</v>
      </c>
      <c r="AB57" s="50">
        <v>9.6</v>
      </c>
      <c r="AC57" s="50">
        <v>15</v>
      </c>
      <c r="AD57" s="50">
        <v>15</v>
      </c>
      <c r="AE57" s="50">
        <v>15</v>
      </c>
      <c r="AF57" s="50">
        <v>15</v>
      </c>
      <c r="AG57" s="61">
        <v>30</v>
      </c>
      <c r="AH57" s="52">
        <f t="shared" si="2"/>
        <v>28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4.4000000000000004</v>
      </c>
      <c r="L58" s="50">
        <v>6.7</v>
      </c>
      <c r="M58" s="50">
        <v>6.7</v>
      </c>
      <c r="N58" s="50">
        <v>6.7</v>
      </c>
      <c r="O58" s="50">
        <v>6.7</v>
      </c>
      <c r="P58" s="72">
        <v>6.7</v>
      </c>
      <c r="Q58" s="72">
        <v>14</v>
      </c>
      <c r="R58" s="72">
        <v>14</v>
      </c>
      <c r="S58" s="50">
        <v>19.3</v>
      </c>
      <c r="T58" s="50">
        <v>12</v>
      </c>
      <c r="U58" s="50">
        <v>12</v>
      </c>
      <c r="V58" s="50">
        <v>10</v>
      </c>
      <c r="W58" s="50">
        <v>8</v>
      </c>
      <c r="X58" s="50">
        <v>3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19.3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15</v>
      </c>
      <c r="C59" s="72">
        <v>15</v>
      </c>
      <c r="D59" s="72">
        <v>15</v>
      </c>
      <c r="E59" s="72">
        <v>15</v>
      </c>
      <c r="F59" s="72">
        <v>15</v>
      </c>
      <c r="G59" s="72">
        <v>15</v>
      </c>
      <c r="H59" s="72">
        <v>15</v>
      </c>
      <c r="I59" s="72">
        <v>15</v>
      </c>
      <c r="J59" s="72">
        <v>15</v>
      </c>
      <c r="K59" s="72">
        <v>15</v>
      </c>
      <c r="L59" s="72">
        <v>15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15</v>
      </c>
      <c r="S59" s="72">
        <v>12</v>
      </c>
      <c r="T59" s="72">
        <v>12</v>
      </c>
      <c r="U59" s="72">
        <v>12</v>
      </c>
      <c r="V59" s="72">
        <v>12</v>
      </c>
      <c r="W59" s="72">
        <v>12</v>
      </c>
      <c r="X59" s="72">
        <v>12</v>
      </c>
      <c r="Y59" s="72">
        <v>15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15</v>
      </c>
      <c r="AI59" s="53">
        <f t="shared" si="3"/>
        <v>12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12.9</v>
      </c>
      <c r="C61" s="72">
        <v>12.9</v>
      </c>
      <c r="D61" s="72">
        <v>12.9</v>
      </c>
      <c r="E61" s="72">
        <v>12.9</v>
      </c>
      <c r="F61" s="72">
        <v>12.9</v>
      </c>
      <c r="G61" s="72">
        <v>12.9</v>
      </c>
      <c r="H61" s="72">
        <v>12.9</v>
      </c>
      <c r="I61" s="72">
        <v>10.3</v>
      </c>
      <c r="J61" s="72">
        <v>10.3</v>
      </c>
      <c r="K61" s="72">
        <v>10.3</v>
      </c>
      <c r="L61" s="72">
        <v>10.3</v>
      </c>
      <c r="M61" s="72">
        <v>10.3</v>
      </c>
      <c r="N61" s="72">
        <v>10.3</v>
      </c>
      <c r="O61" s="72">
        <v>10.3</v>
      </c>
      <c r="P61" s="72">
        <v>10.3</v>
      </c>
      <c r="Q61" s="72">
        <v>11.7</v>
      </c>
      <c r="R61" s="72">
        <v>11.7</v>
      </c>
      <c r="S61" s="72">
        <v>7.9</v>
      </c>
      <c r="T61" s="72">
        <v>7.9</v>
      </c>
      <c r="U61" s="72">
        <v>7.9</v>
      </c>
      <c r="V61" s="72">
        <v>7.9</v>
      </c>
      <c r="W61" s="72">
        <v>7.9</v>
      </c>
      <c r="X61" s="72">
        <v>7.9</v>
      </c>
      <c r="Y61" s="72">
        <v>7.4</v>
      </c>
      <c r="Z61" s="72">
        <v>7.4</v>
      </c>
      <c r="AA61" s="72">
        <v>7.4</v>
      </c>
      <c r="AB61" s="72">
        <v>7.4</v>
      </c>
      <c r="AC61" s="72">
        <v>7.4</v>
      </c>
      <c r="AD61" s="72">
        <v>7.4</v>
      </c>
      <c r="AE61" s="72">
        <v>7.4</v>
      </c>
      <c r="AF61" s="72">
        <v>7.4</v>
      </c>
      <c r="AG61" s="61">
        <v>14.1</v>
      </c>
      <c r="AH61" s="52">
        <f t="shared" si="2"/>
        <v>12.9</v>
      </c>
      <c r="AI61" s="53">
        <f t="shared" si="3"/>
        <v>7.4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6</v>
      </c>
      <c r="C62" s="72">
        <v>6</v>
      </c>
      <c r="D62" s="72">
        <v>6</v>
      </c>
      <c r="E62" s="72">
        <v>6</v>
      </c>
      <c r="F62" s="72">
        <v>6</v>
      </c>
      <c r="G62" s="72">
        <v>6</v>
      </c>
      <c r="H62" s="72">
        <v>6</v>
      </c>
      <c r="I62" s="72">
        <v>6</v>
      </c>
      <c r="J62" s="72">
        <v>6</v>
      </c>
      <c r="K62" s="72">
        <v>6</v>
      </c>
      <c r="L62" s="72">
        <v>6</v>
      </c>
      <c r="M62" s="72">
        <v>6</v>
      </c>
      <c r="N62" s="72">
        <v>6</v>
      </c>
      <c r="O62" s="72">
        <v>6</v>
      </c>
      <c r="P62" s="72">
        <v>6</v>
      </c>
      <c r="Q62" s="72">
        <v>6</v>
      </c>
      <c r="R62" s="72">
        <v>6</v>
      </c>
      <c r="S62" s="72">
        <v>6</v>
      </c>
      <c r="T62" s="72">
        <v>6</v>
      </c>
      <c r="U62" s="72">
        <v>6</v>
      </c>
      <c r="V62" s="72">
        <v>6</v>
      </c>
      <c r="W62" s="72">
        <v>6</v>
      </c>
      <c r="X62" s="72">
        <v>6</v>
      </c>
      <c r="Y62" s="72">
        <v>6</v>
      </c>
      <c r="Z62" s="72">
        <v>6</v>
      </c>
      <c r="AA62" s="72">
        <v>6</v>
      </c>
      <c r="AB62" s="72">
        <v>6</v>
      </c>
      <c r="AC62" s="72">
        <v>6</v>
      </c>
      <c r="AD62" s="72">
        <v>6</v>
      </c>
      <c r="AE62" s="72">
        <v>6</v>
      </c>
      <c r="AF62" s="72">
        <v>6</v>
      </c>
      <c r="AG62" s="61">
        <v>14</v>
      </c>
      <c r="AH62" s="52">
        <f t="shared" si="2"/>
        <v>6</v>
      </c>
      <c r="AI62" s="53">
        <f t="shared" si="3"/>
        <v>6</v>
      </c>
      <c r="AK62" s="54"/>
    </row>
    <row r="63" spans="1:41" x14ac:dyDescent="0.25">
      <c r="A63" s="60" t="s">
        <v>71</v>
      </c>
      <c r="B63" s="72">
        <v>3.5</v>
      </c>
      <c r="C63" s="72">
        <v>3.5</v>
      </c>
      <c r="D63" s="72">
        <v>3.5</v>
      </c>
      <c r="E63" s="72">
        <v>3.5</v>
      </c>
      <c r="F63" s="72">
        <v>3.5</v>
      </c>
      <c r="G63" s="72">
        <v>3.5</v>
      </c>
      <c r="H63" s="72">
        <v>3.5</v>
      </c>
      <c r="I63" s="72">
        <v>3.5</v>
      </c>
      <c r="J63" s="72">
        <v>3.5</v>
      </c>
      <c r="K63" s="72">
        <v>3.5</v>
      </c>
      <c r="L63" s="72">
        <v>3.5</v>
      </c>
      <c r="M63" s="72">
        <v>3.5</v>
      </c>
      <c r="N63" s="72">
        <v>3.5</v>
      </c>
      <c r="O63" s="72">
        <v>3.5</v>
      </c>
      <c r="P63" s="72">
        <v>3.5</v>
      </c>
      <c r="Q63" s="72">
        <v>3.5</v>
      </c>
      <c r="R63" s="72">
        <v>3.5</v>
      </c>
      <c r="S63" s="72">
        <v>0</v>
      </c>
      <c r="T63" s="72">
        <v>5</v>
      </c>
      <c r="U63" s="72">
        <v>5</v>
      </c>
      <c r="V63" s="72">
        <v>5</v>
      </c>
      <c r="W63" s="72">
        <v>5</v>
      </c>
      <c r="X63" s="72">
        <v>5</v>
      </c>
      <c r="Y63" s="72">
        <v>4.0999999999999996</v>
      </c>
      <c r="Z63" s="72">
        <v>4.0999999999999996</v>
      </c>
      <c r="AA63" s="72">
        <v>4.0999999999999996</v>
      </c>
      <c r="AB63" s="72">
        <v>4.0999999999999996</v>
      </c>
      <c r="AC63" s="72">
        <v>4.0999999999999996</v>
      </c>
      <c r="AD63" s="72">
        <v>4.0999999999999996</v>
      </c>
      <c r="AE63" s="72">
        <v>4.0999999999999996</v>
      </c>
      <c r="AF63" s="72">
        <v>4.0999999999999996</v>
      </c>
      <c r="AG63" s="61">
        <v>10.050000000000001</v>
      </c>
      <c r="AH63" s="52">
        <f t="shared" si="2"/>
        <v>5</v>
      </c>
      <c r="AI63" s="53">
        <f t="shared" si="3"/>
        <v>0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:AG66" si="7">SUM(B53:B65)</f>
        <v>266.24</v>
      </c>
      <c r="C66" s="67">
        <f t="shared" si="7"/>
        <v>254.93999999999997</v>
      </c>
      <c r="D66" s="67">
        <f t="shared" si="7"/>
        <v>244.63999999999996</v>
      </c>
      <c r="E66" s="67">
        <f t="shared" si="7"/>
        <v>198.64</v>
      </c>
      <c r="F66" s="67">
        <f t="shared" si="7"/>
        <v>198.83999999999997</v>
      </c>
      <c r="G66" s="67">
        <f t="shared" si="7"/>
        <v>198.84</v>
      </c>
      <c r="H66" s="67">
        <f t="shared" si="7"/>
        <v>198.84</v>
      </c>
      <c r="I66" s="67">
        <f t="shared" si="7"/>
        <v>182.94</v>
      </c>
      <c r="J66" s="67">
        <f t="shared" si="7"/>
        <v>153.54</v>
      </c>
      <c r="K66" s="67">
        <f t="shared" si="7"/>
        <v>156.14000000000001</v>
      </c>
      <c r="L66" s="67">
        <f t="shared" si="7"/>
        <v>176.94</v>
      </c>
      <c r="M66" s="67">
        <f t="shared" si="7"/>
        <v>183.64</v>
      </c>
      <c r="N66" s="67">
        <f t="shared" si="7"/>
        <v>185.04</v>
      </c>
      <c r="O66" s="67">
        <f t="shared" si="7"/>
        <v>214.54</v>
      </c>
      <c r="P66" s="67">
        <f t="shared" si="7"/>
        <v>257.64</v>
      </c>
      <c r="Q66" s="67">
        <f t="shared" si="7"/>
        <v>297.19</v>
      </c>
      <c r="R66" s="67">
        <f t="shared" si="7"/>
        <v>277.09000000000003</v>
      </c>
      <c r="S66" s="67">
        <f t="shared" si="7"/>
        <v>277.54000000000002</v>
      </c>
      <c r="T66" s="67">
        <f t="shared" si="7"/>
        <v>252.54</v>
      </c>
      <c r="U66" s="67">
        <f t="shared" si="7"/>
        <v>306.83999999999997</v>
      </c>
      <c r="V66" s="67">
        <f t="shared" si="7"/>
        <v>261.24000000000007</v>
      </c>
      <c r="W66" s="67">
        <f t="shared" si="7"/>
        <v>231.34</v>
      </c>
      <c r="X66" s="67">
        <f t="shared" si="7"/>
        <v>226.34</v>
      </c>
      <c r="Y66" s="67">
        <f t="shared" si="7"/>
        <v>230.34</v>
      </c>
      <c r="Z66" s="67">
        <f t="shared" si="7"/>
        <v>299.54000000000002</v>
      </c>
      <c r="AA66" s="67">
        <f t="shared" si="7"/>
        <v>338.34000000000003</v>
      </c>
      <c r="AB66" s="67">
        <f t="shared" si="7"/>
        <v>236.04000000000002</v>
      </c>
      <c r="AC66" s="67">
        <f t="shared" si="7"/>
        <v>286.14000000000004</v>
      </c>
      <c r="AD66" s="67">
        <f t="shared" si="7"/>
        <v>277.34000000000003</v>
      </c>
      <c r="AE66" s="67">
        <f t="shared" si="7"/>
        <v>251.94000000000003</v>
      </c>
      <c r="AF66" s="67">
        <f t="shared" si="7"/>
        <v>259.04000000000002</v>
      </c>
      <c r="AG66" s="68">
        <f t="shared" si="7"/>
        <v>489.91</v>
      </c>
      <c r="AH66" s="52">
        <f t="shared" si="2"/>
        <v>338.34000000000003</v>
      </c>
      <c r="AI66" s="53">
        <f t="shared" si="3"/>
        <v>153.54</v>
      </c>
      <c r="AK66" s="54"/>
    </row>
    <row r="67" spans="1:40" x14ac:dyDescent="0.25">
      <c r="A67" s="49" t="s">
        <v>75</v>
      </c>
      <c r="B67" s="50">
        <v>14</v>
      </c>
      <c r="C67" s="50">
        <v>14</v>
      </c>
      <c r="D67" s="50">
        <v>20</v>
      </c>
      <c r="E67" s="50">
        <v>30</v>
      </c>
      <c r="F67" s="50">
        <v>30</v>
      </c>
      <c r="G67" s="50">
        <v>30</v>
      </c>
      <c r="H67" s="50">
        <v>30</v>
      </c>
      <c r="I67" s="50">
        <v>30</v>
      </c>
      <c r="J67" s="50">
        <v>14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30</v>
      </c>
      <c r="Q67" s="50">
        <v>30</v>
      </c>
      <c r="R67" s="50">
        <v>30</v>
      </c>
      <c r="S67" s="50">
        <v>60</v>
      </c>
      <c r="T67" s="50">
        <v>40</v>
      </c>
      <c r="U67" s="50">
        <v>60</v>
      </c>
      <c r="V67" s="50">
        <v>40</v>
      </c>
      <c r="W67" s="50">
        <v>40</v>
      </c>
      <c r="X67" s="50">
        <v>40</v>
      </c>
      <c r="Y67" s="50">
        <v>60</v>
      </c>
      <c r="Z67" s="50">
        <v>30</v>
      </c>
      <c r="AA67" s="50">
        <v>30</v>
      </c>
      <c r="AB67" s="50">
        <v>0</v>
      </c>
      <c r="AC67" s="50"/>
      <c r="AD67" s="50"/>
      <c r="AE67" s="50"/>
      <c r="AF67" s="50"/>
      <c r="AG67" s="56">
        <v>60</v>
      </c>
      <c r="AH67" s="52">
        <f t="shared" si="2"/>
        <v>60</v>
      </c>
      <c r="AI67" s="53">
        <f t="shared" si="3"/>
        <v>0</v>
      </c>
      <c r="AK67" s="54"/>
    </row>
    <row r="68" spans="1:40" x14ac:dyDescent="0.25">
      <c r="A68" s="60" t="s">
        <v>76</v>
      </c>
      <c r="B68" s="72">
        <v>5.4</v>
      </c>
      <c r="C68" s="72">
        <v>5.4</v>
      </c>
      <c r="D68" s="72">
        <v>10</v>
      </c>
      <c r="E68" s="72">
        <v>13.3</v>
      </c>
      <c r="F68" s="72">
        <v>14.5</v>
      </c>
      <c r="G68" s="72">
        <v>14.5</v>
      </c>
      <c r="H68" s="72">
        <v>14.1</v>
      </c>
      <c r="I68" s="72">
        <v>14.1</v>
      </c>
      <c r="J68" s="72">
        <v>10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14.7</v>
      </c>
      <c r="Q68" s="50">
        <v>13.8</v>
      </c>
      <c r="R68" s="50">
        <v>13.8</v>
      </c>
      <c r="S68" s="72">
        <v>28.7</v>
      </c>
      <c r="T68" s="72">
        <v>17.8</v>
      </c>
      <c r="U68" s="72">
        <v>29</v>
      </c>
      <c r="V68" s="72">
        <v>16</v>
      </c>
      <c r="W68" s="72">
        <v>16</v>
      </c>
      <c r="X68" s="72">
        <v>16</v>
      </c>
      <c r="Y68" s="72">
        <v>26.9</v>
      </c>
      <c r="Z68" s="72">
        <v>9.9</v>
      </c>
      <c r="AA68" s="72">
        <v>8.6</v>
      </c>
      <c r="AB68" s="72">
        <v>0</v>
      </c>
      <c r="AC68" s="72"/>
      <c r="AD68" s="72"/>
      <c r="AE68" s="72"/>
      <c r="AF68" s="50"/>
      <c r="AG68" s="61">
        <v>32</v>
      </c>
      <c r="AH68" s="52">
        <f t="shared" si="2"/>
        <v>29</v>
      </c>
      <c r="AI68" s="53">
        <f t="shared" si="3"/>
        <v>0</v>
      </c>
      <c r="AK68" s="54"/>
    </row>
    <row r="69" spans="1:40" ht="15.75" thickBot="1" x14ac:dyDescent="0.3">
      <c r="A69" s="78" t="s">
        <v>77</v>
      </c>
      <c r="B69" s="74">
        <v>2</v>
      </c>
      <c r="C69" s="74">
        <v>2</v>
      </c>
      <c r="D69" s="74">
        <v>4</v>
      </c>
      <c r="E69" s="74">
        <v>4.9000000000000004</v>
      </c>
      <c r="F69" s="74">
        <v>5</v>
      </c>
      <c r="G69" s="74">
        <v>5</v>
      </c>
      <c r="H69" s="74">
        <v>5.2</v>
      </c>
      <c r="I69" s="74">
        <v>5.0999999999999996</v>
      </c>
      <c r="J69" s="74">
        <v>5.0999999999999996</v>
      </c>
      <c r="K69" s="74">
        <v>0</v>
      </c>
      <c r="L69" s="74">
        <v>0</v>
      </c>
      <c r="M69" s="74">
        <v>0</v>
      </c>
      <c r="N69" s="74">
        <v>0</v>
      </c>
      <c r="O69" s="74">
        <v>0</v>
      </c>
      <c r="P69" s="74">
        <v>5.41</v>
      </c>
      <c r="Q69" s="50">
        <v>5.4</v>
      </c>
      <c r="R69" s="50">
        <v>5.4</v>
      </c>
      <c r="S69" s="74">
        <v>10.5</v>
      </c>
      <c r="T69" s="74">
        <v>6.5</v>
      </c>
      <c r="U69" s="74">
        <v>10.6</v>
      </c>
      <c r="V69" s="74">
        <v>5.7</v>
      </c>
      <c r="W69" s="74">
        <v>5.7</v>
      </c>
      <c r="X69" s="74">
        <v>5.7</v>
      </c>
      <c r="Y69" s="74">
        <v>9.8000000000000007</v>
      </c>
      <c r="Z69" s="74">
        <v>3.6</v>
      </c>
      <c r="AA69" s="74">
        <v>3.1</v>
      </c>
      <c r="AB69" s="74">
        <v>0</v>
      </c>
      <c r="AC69" s="74"/>
      <c r="AD69" s="74"/>
      <c r="AE69" s="74"/>
      <c r="AF69" s="50"/>
      <c r="AG69" s="75">
        <v>14</v>
      </c>
      <c r="AH69" s="52">
        <f t="shared" si="2"/>
        <v>10.6</v>
      </c>
      <c r="AI69" s="53">
        <f t="shared" si="3"/>
        <v>0</v>
      </c>
      <c r="AK69" s="54"/>
    </row>
    <row r="70" spans="1:40" ht="15.75" thickBot="1" x14ac:dyDescent="0.3">
      <c r="A70" s="81" t="s">
        <v>78</v>
      </c>
      <c r="B70" s="67">
        <f>B67+B68+B69</f>
        <v>21.4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0</v>
      </c>
      <c r="M70" s="67">
        <f t="shared" ref="M70:AF70" si="8">M67+M68+M69</f>
        <v>0</v>
      </c>
      <c r="N70" s="67">
        <f t="shared" si="8"/>
        <v>0</v>
      </c>
      <c r="O70" s="67">
        <f t="shared" si="8"/>
        <v>0</v>
      </c>
      <c r="P70" s="67">
        <f t="shared" si="8"/>
        <v>50.11</v>
      </c>
      <c r="Q70" s="67">
        <f t="shared" si="8"/>
        <v>49.199999999999996</v>
      </c>
      <c r="R70" s="67">
        <f t="shared" si="8"/>
        <v>49.199999999999996</v>
      </c>
      <c r="S70" s="67">
        <f t="shared" si="8"/>
        <v>99.2</v>
      </c>
      <c r="T70" s="67">
        <f t="shared" si="8"/>
        <v>64.3</v>
      </c>
      <c r="U70" s="67">
        <f t="shared" si="8"/>
        <v>99.6</v>
      </c>
      <c r="V70" s="67">
        <f t="shared" si="8"/>
        <v>61.7</v>
      </c>
      <c r="W70" s="67">
        <f t="shared" si="8"/>
        <v>61.7</v>
      </c>
      <c r="X70" s="67">
        <f t="shared" si="8"/>
        <v>61.7</v>
      </c>
      <c r="Y70" s="67">
        <f t="shared" si="8"/>
        <v>96.7</v>
      </c>
      <c r="Z70" s="67">
        <f t="shared" si="8"/>
        <v>43.5</v>
      </c>
      <c r="AA70" s="67">
        <f t="shared" si="8"/>
        <v>41.7</v>
      </c>
      <c r="AB70" s="67">
        <f t="shared" si="8"/>
        <v>0</v>
      </c>
      <c r="AC70" s="67">
        <f t="shared" si="8"/>
        <v>0</v>
      </c>
      <c r="AD70" s="67">
        <f t="shared" si="8"/>
        <v>0</v>
      </c>
      <c r="AE70" s="67">
        <f t="shared" si="8"/>
        <v>0</v>
      </c>
      <c r="AF70" s="67">
        <f t="shared" si="8"/>
        <v>0</v>
      </c>
      <c r="AG70" s="68">
        <f>SUM(AG67:AG69)</f>
        <v>106</v>
      </c>
      <c r="AH70" s="52">
        <f t="shared" si="2"/>
        <v>99.6</v>
      </c>
      <c r="AI70" s="53">
        <f t="shared" si="3"/>
        <v>0</v>
      </c>
      <c r="AK70" s="54"/>
    </row>
    <row r="71" spans="1:40" x14ac:dyDescent="0.25">
      <c r="A71" s="49" t="s">
        <v>79</v>
      </c>
      <c r="B71" s="50">
        <v>61</v>
      </c>
      <c r="C71" s="50">
        <v>51.8</v>
      </c>
      <c r="D71" s="50">
        <v>57.9</v>
      </c>
      <c r="E71" s="50">
        <v>61.7</v>
      </c>
      <c r="F71" s="50">
        <v>58.5</v>
      </c>
      <c r="G71" s="50">
        <v>50.4</v>
      </c>
      <c r="H71" s="50">
        <v>57.8</v>
      </c>
      <c r="I71" s="50">
        <v>58.7</v>
      </c>
      <c r="J71" s="50">
        <v>41.8</v>
      </c>
      <c r="K71" s="50">
        <v>55.7</v>
      </c>
      <c r="L71" s="50">
        <v>58</v>
      </c>
      <c r="M71" s="50">
        <v>57</v>
      </c>
      <c r="N71" s="50">
        <v>57</v>
      </c>
      <c r="O71" s="50">
        <v>44</v>
      </c>
      <c r="P71" s="50">
        <v>50</v>
      </c>
      <c r="Q71" s="50">
        <v>58.2</v>
      </c>
      <c r="R71" s="50">
        <v>66</v>
      </c>
      <c r="S71" s="50">
        <v>52</v>
      </c>
      <c r="T71" s="50">
        <v>64.2</v>
      </c>
      <c r="U71" s="50">
        <v>60.8</v>
      </c>
      <c r="V71" s="50">
        <v>70</v>
      </c>
      <c r="W71" s="50">
        <v>72</v>
      </c>
      <c r="X71" s="50">
        <v>60</v>
      </c>
      <c r="Y71" s="50">
        <v>60.1</v>
      </c>
      <c r="Z71" s="50">
        <v>63</v>
      </c>
      <c r="AA71" s="50">
        <v>55.5</v>
      </c>
      <c r="AB71" s="50">
        <v>55.5</v>
      </c>
      <c r="AC71" s="50">
        <v>69</v>
      </c>
      <c r="AD71" s="50">
        <v>70.099999999999994</v>
      </c>
      <c r="AE71" s="50">
        <v>63.2</v>
      </c>
      <c r="AF71" s="50">
        <v>55.3</v>
      </c>
      <c r="AG71" s="56"/>
      <c r="AH71" s="52">
        <f t="shared" si="2"/>
        <v>72</v>
      </c>
      <c r="AI71" s="53">
        <f t="shared" si="3"/>
        <v>41.8</v>
      </c>
      <c r="AK71" s="54"/>
    </row>
    <row r="72" spans="1:40" x14ac:dyDescent="0.25">
      <c r="A72" s="60" t="s">
        <v>80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/>
      <c r="AD72" s="72"/>
      <c r="AE72" s="72"/>
      <c r="AF72" s="72"/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319</v>
      </c>
      <c r="C73" s="72">
        <v>330</v>
      </c>
      <c r="D73" s="72">
        <v>307.3</v>
      </c>
      <c r="E73" s="72">
        <v>333</v>
      </c>
      <c r="F73" s="72">
        <v>318.5</v>
      </c>
      <c r="G73" s="72">
        <v>343.8</v>
      </c>
      <c r="H73" s="72">
        <v>341.9</v>
      </c>
      <c r="I73" s="72">
        <v>308.10000000000002</v>
      </c>
      <c r="J73" s="72">
        <v>336</v>
      </c>
      <c r="K73" s="72">
        <v>357</v>
      </c>
      <c r="L73" s="72">
        <v>378</v>
      </c>
      <c r="M73" s="72">
        <v>331</v>
      </c>
      <c r="N73" s="72">
        <v>358</v>
      </c>
      <c r="O73" s="72">
        <v>323</v>
      </c>
      <c r="P73" s="72">
        <v>322</v>
      </c>
      <c r="Q73" s="72">
        <v>301</v>
      </c>
      <c r="R73" s="72">
        <v>271</v>
      </c>
      <c r="S73" s="72">
        <v>314.8</v>
      </c>
      <c r="T73" s="72">
        <v>345.9</v>
      </c>
      <c r="U73" s="72">
        <v>340</v>
      </c>
      <c r="V73" s="72">
        <v>350</v>
      </c>
      <c r="W73" s="72">
        <v>345</v>
      </c>
      <c r="X73" s="72">
        <v>338</v>
      </c>
      <c r="Y73" s="72">
        <v>254.5</v>
      </c>
      <c r="Z73" s="72">
        <v>297</v>
      </c>
      <c r="AA73" s="72">
        <v>235</v>
      </c>
      <c r="AB73" s="72">
        <v>250</v>
      </c>
      <c r="AC73" s="72">
        <v>264</v>
      </c>
      <c r="AD73" s="72">
        <v>309</v>
      </c>
      <c r="AE73" s="72">
        <v>312</v>
      </c>
      <c r="AF73" s="72">
        <v>335.2</v>
      </c>
      <c r="AG73" s="82"/>
      <c r="AH73" s="52">
        <f t="shared" si="2"/>
        <v>378</v>
      </c>
      <c r="AI73" s="53">
        <f t="shared" si="3"/>
        <v>235</v>
      </c>
      <c r="AK73" s="54"/>
    </row>
    <row r="74" spans="1:40" x14ac:dyDescent="0.25">
      <c r="A74" s="60" t="s">
        <v>82</v>
      </c>
      <c r="B74" s="72">
        <v>8</v>
      </c>
      <c r="C74" s="72">
        <v>8</v>
      </c>
      <c r="D74" s="72">
        <v>8</v>
      </c>
      <c r="E74" s="83">
        <v>8</v>
      </c>
      <c r="F74" s="83">
        <v>31.9</v>
      </c>
      <c r="G74" s="83">
        <v>31.4</v>
      </c>
      <c r="H74" s="83">
        <v>31.6</v>
      </c>
      <c r="I74" s="83">
        <v>31.3</v>
      </c>
      <c r="J74" s="83">
        <v>29.9</v>
      </c>
      <c r="K74" s="83">
        <v>29.9</v>
      </c>
      <c r="L74" s="83">
        <v>32.5</v>
      </c>
      <c r="M74" s="83">
        <v>39.9</v>
      </c>
      <c r="N74" s="83">
        <v>53.3</v>
      </c>
      <c r="O74" s="83">
        <v>54</v>
      </c>
      <c r="P74" s="83">
        <v>56.4</v>
      </c>
      <c r="Q74" s="83">
        <v>51.7</v>
      </c>
      <c r="R74" s="83">
        <v>55.4</v>
      </c>
      <c r="S74" s="83">
        <v>52.2</v>
      </c>
      <c r="T74" s="83">
        <v>54.2</v>
      </c>
      <c r="U74" s="83">
        <v>61.2</v>
      </c>
      <c r="V74" s="83">
        <v>61.2</v>
      </c>
      <c r="W74" s="83">
        <v>61.2</v>
      </c>
      <c r="X74" s="83">
        <v>61.2</v>
      </c>
      <c r="Y74" s="83">
        <v>61.2</v>
      </c>
      <c r="Z74" s="72">
        <v>56</v>
      </c>
      <c r="AA74" s="72">
        <v>50.3</v>
      </c>
      <c r="AB74" s="72">
        <v>55.5</v>
      </c>
      <c r="AC74" s="72">
        <v>21.2</v>
      </c>
      <c r="AD74" s="72">
        <v>24.2</v>
      </c>
      <c r="AE74" s="72">
        <v>24</v>
      </c>
      <c r="AF74" s="72">
        <v>28.7</v>
      </c>
      <c r="AG74" s="82"/>
      <c r="AH74" s="52">
        <f t="shared" si="2"/>
        <v>61.2</v>
      </c>
      <c r="AI74" s="53">
        <f t="shared" si="3"/>
        <v>8</v>
      </c>
      <c r="AK74" s="54"/>
    </row>
    <row r="75" spans="1:40" x14ac:dyDescent="0.25">
      <c r="A75" s="60" t="s">
        <v>83</v>
      </c>
      <c r="B75" s="50">
        <v>0</v>
      </c>
      <c r="C75" s="50">
        <v>0</v>
      </c>
      <c r="D75" s="50">
        <v>0</v>
      </c>
      <c r="E75" s="50">
        <v>0</v>
      </c>
      <c r="F75" s="50">
        <v>25.4</v>
      </c>
      <c r="G75" s="50">
        <v>27.2</v>
      </c>
      <c r="H75" s="50">
        <v>25.8</v>
      </c>
      <c r="I75" s="50">
        <v>25.8</v>
      </c>
      <c r="J75" s="50">
        <v>26.7</v>
      </c>
      <c r="K75" s="50">
        <v>25.7</v>
      </c>
      <c r="L75" s="50">
        <v>25.4</v>
      </c>
      <c r="M75" s="50">
        <v>23</v>
      </c>
      <c r="N75" s="50">
        <v>22.8</v>
      </c>
      <c r="O75" s="50">
        <v>23</v>
      </c>
      <c r="P75" s="50">
        <v>16</v>
      </c>
      <c r="Q75" s="50">
        <v>16</v>
      </c>
      <c r="R75" s="50">
        <v>20.100000000000001</v>
      </c>
      <c r="S75" s="50">
        <v>18.899999999999999</v>
      </c>
      <c r="T75" s="50">
        <v>19.600000000000001</v>
      </c>
      <c r="U75" s="50">
        <v>21.3</v>
      </c>
      <c r="V75" s="50">
        <v>21.3</v>
      </c>
      <c r="W75" s="50">
        <v>21.3</v>
      </c>
      <c r="X75" s="50">
        <v>21.3</v>
      </c>
      <c r="Y75" s="50">
        <v>21.3</v>
      </c>
      <c r="Z75" s="50">
        <v>14.8</v>
      </c>
      <c r="AA75" s="50">
        <v>15.5</v>
      </c>
      <c r="AB75" s="50">
        <v>15.5</v>
      </c>
      <c r="AC75" s="50">
        <v>16.5</v>
      </c>
      <c r="AD75" s="50">
        <v>17.5</v>
      </c>
      <c r="AE75" s="50">
        <v>18</v>
      </c>
      <c r="AF75" s="50">
        <v>23.9</v>
      </c>
      <c r="AG75" s="82"/>
      <c r="AH75" s="52">
        <f t="shared" ref="AH75:AH117" si="9">MAX(B75:AF75)</f>
        <v>27.2</v>
      </c>
      <c r="AI75" s="53">
        <f t="shared" ref="AI75:AI117" si="10">MIN(B75:AF75)</f>
        <v>0</v>
      </c>
      <c r="AK75" s="54"/>
    </row>
    <row r="76" spans="1:40" x14ac:dyDescent="0.25">
      <c r="A76" s="60" t="s">
        <v>84</v>
      </c>
      <c r="B76" s="84">
        <v>6</v>
      </c>
      <c r="C76" s="84">
        <v>6</v>
      </c>
      <c r="D76" s="84">
        <v>6</v>
      </c>
      <c r="E76" s="84">
        <v>6</v>
      </c>
      <c r="F76" s="84">
        <v>6</v>
      </c>
      <c r="G76" s="84">
        <v>6</v>
      </c>
      <c r="H76" s="84">
        <v>6</v>
      </c>
      <c r="I76" s="84">
        <v>6</v>
      </c>
      <c r="J76" s="84">
        <v>6</v>
      </c>
      <c r="K76" s="84">
        <v>6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/>
      <c r="AD76" s="84"/>
      <c r="AE76" s="84">
        <v>8</v>
      </c>
      <c r="AF76" s="84">
        <v>8</v>
      </c>
      <c r="AG76" s="82"/>
      <c r="AH76" s="52">
        <f t="shared" si="9"/>
        <v>8</v>
      </c>
      <c r="AI76" s="53">
        <f t="shared" si="10"/>
        <v>0</v>
      </c>
      <c r="AK76" s="54"/>
    </row>
    <row r="77" spans="1:40" ht="15.75" thickBot="1" x14ac:dyDescent="0.3">
      <c r="A77" s="60" t="s">
        <v>85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5</v>
      </c>
      <c r="N77" s="84">
        <v>5</v>
      </c>
      <c r="O77" s="84">
        <v>5</v>
      </c>
      <c r="P77" s="84">
        <v>5</v>
      </c>
      <c r="Q77" s="84">
        <v>5</v>
      </c>
      <c r="R77" s="84">
        <v>5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3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9"/>
        <v>5</v>
      </c>
      <c r="AI77" s="53">
        <f t="shared" si="10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/>
      <c r="AD78" s="84"/>
      <c r="AE78" s="84"/>
      <c r="AF78" s="84"/>
      <c r="AG78" s="82"/>
      <c r="AH78" s="52">
        <f t="shared" si="9"/>
        <v>0</v>
      </c>
      <c r="AI78" s="53">
        <f t="shared" si="10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/>
      <c r="AD79" s="84"/>
      <c r="AE79" s="84"/>
      <c r="AF79" s="84"/>
      <c r="AG79" s="82"/>
      <c r="AH79" s="52">
        <f t="shared" si="9"/>
        <v>0</v>
      </c>
      <c r="AI79" s="53">
        <f t="shared" si="10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/>
      <c r="AD80" s="84"/>
      <c r="AE80" s="84"/>
      <c r="AF80" s="84"/>
      <c r="AG80" s="92"/>
      <c r="AH80" s="52">
        <f t="shared" si="9"/>
        <v>0</v>
      </c>
      <c r="AI80" s="53">
        <f t="shared" si="10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/>
      <c r="AD81" s="84"/>
      <c r="AE81" s="84"/>
      <c r="AF81" s="84"/>
      <c r="AG81" s="92"/>
      <c r="AH81" s="52">
        <f t="shared" si="9"/>
        <v>0</v>
      </c>
      <c r="AI81" s="53">
        <f t="shared" si="10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:AF82" si="11">SUMIF(B71:B81,"&gt;0")</f>
        <v>394</v>
      </c>
      <c r="C82" s="67">
        <f t="shared" si="11"/>
        <v>395.8</v>
      </c>
      <c r="D82" s="67">
        <f t="shared" si="11"/>
        <v>379.2</v>
      </c>
      <c r="E82" s="67">
        <f t="shared" si="11"/>
        <v>408.7</v>
      </c>
      <c r="F82" s="67">
        <f t="shared" si="11"/>
        <v>440.29999999999995</v>
      </c>
      <c r="G82" s="67">
        <f t="shared" si="11"/>
        <v>458.79999999999995</v>
      </c>
      <c r="H82" s="67">
        <f t="shared" si="11"/>
        <v>463.1</v>
      </c>
      <c r="I82" s="67">
        <f t="shared" si="11"/>
        <v>429.90000000000003</v>
      </c>
      <c r="J82" s="67">
        <f t="shared" si="11"/>
        <v>440.4</v>
      </c>
      <c r="K82" s="67">
        <f t="shared" si="11"/>
        <v>474.29999999999995</v>
      </c>
      <c r="L82" s="67">
        <f t="shared" si="11"/>
        <v>493.9</v>
      </c>
      <c r="M82" s="67">
        <f t="shared" si="11"/>
        <v>455.9</v>
      </c>
      <c r="N82" s="67">
        <f t="shared" si="11"/>
        <v>496.1</v>
      </c>
      <c r="O82" s="67">
        <f t="shared" si="11"/>
        <v>449</v>
      </c>
      <c r="P82" s="67">
        <f t="shared" si="11"/>
        <v>449.4</v>
      </c>
      <c r="Q82" s="67">
        <f t="shared" si="11"/>
        <v>431.9</v>
      </c>
      <c r="R82" s="67">
        <f t="shared" si="11"/>
        <v>417.5</v>
      </c>
      <c r="S82" s="67">
        <f t="shared" si="11"/>
        <v>437.9</v>
      </c>
      <c r="T82" s="67">
        <f t="shared" si="11"/>
        <v>483.9</v>
      </c>
      <c r="U82" s="67">
        <f t="shared" si="11"/>
        <v>483.3</v>
      </c>
      <c r="V82" s="67">
        <f t="shared" si="11"/>
        <v>502.5</v>
      </c>
      <c r="W82" s="67">
        <f t="shared" si="11"/>
        <v>499.5</v>
      </c>
      <c r="X82" s="67">
        <f t="shared" si="11"/>
        <v>480.5</v>
      </c>
      <c r="Y82" s="67">
        <f t="shared" si="11"/>
        <v>397.1</v>
      </c>
      <c r="Z82" s="67">
        <f t="shared" si="11"/>
        <v>430.8</v>
      </c>
      <c r="AA82" s="67">
        <f t="shared" si="11"/>
        <v>359.3</v>
      </c>
      <c r="AB82" s="67">
        <f t="shared" si="11"/>
        <v>376.5</v>
      </c>
      <c r="AC82" s="67">
        <f t="shared" si="11"/>
        <v>370.7</v>
      </c>
      <c r="AD82" s="67">
        <f t="shared" si="11"/>
        <v>420.8</v>
      </c>
      <c r="AE82" s="67">
        <f t="shared" si="11"/>
        <v>425.2</v>
      </c>
      <c r="AF82" s="67">
        <f t="shared" si="11"/>
        <v>451.09999999999997</v>
      </c>
      <c r="AG82" s="95">
        <f>SUM(AG71:AG81)</f>
        <v>0</v>
      </c>
      <c r="AH82" s="52">
        <f t="shared" si="9"/>
        <v>502.5</v>
      </c>
      <c r="AI82" s="53">
        <f t="shared" si="10"/>
        <v>359.3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9"/>
        <v>0</v>
      </c>
      <c r="AI83" s="53">
        <f t="shared" si="10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9"/>
        <v>0</v>
      </c>
      <c r="AI84" s="53">
        <f t="shared" si="10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9"/>
        <v>0</v>
      </c>
      <c r="AI85" s="53">
        <f t="shared" si="10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9"/>
        <v>0</v>
      </c>
      <c r="AI86" s="53">
        <f t="shared" si="10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:AG87" si="12">B48+B52+B70+B66+B82+B86</f>
        <v>1355.8400000000001</v>
      </c>
      <c r="C87" s="102">
        <f t="shared" si="12"/>
        <v>1274.94</v>
      </c>
      <c r="D87" s="102">
        <f t="shared" si="12"/>
        <v>1268.04</v>
      </c>
      <c r="E87" s="102">
        <f t="shared" si="12"/>
        <v>1221.74</v>
      </c>
      <c r="F87" s="102">
        <f t="shared" si="12"/>
        <v>1213.44</v>
      </c>
      <c r="G87" s="102">
        <f t="shared" si="12"/>
        <v>1232.04</v>
      </c>
      <c r="H87" s="102">
        <f t="shared" si="12"/>
        <v>1236.3400000000001</v>
      </c>
      <c r="I87" s="102">
        <f t="shared" si="12"/>
        <v>1167.1400000000001</v>
      </c>
      <c r="J87" s="102">
        <f t="shared" si="12"/>
        <v>1113.24</v>
      </c>
      <c r="K87" s="102">
        <f t="shared" si="12"/>
        <v>1184.74</v>
      </c>
      <c r="L87" s="102">
        <f t="shared" si="12"/>
        <v>1225.1399999999999</v>
      </c>
      <c r="M87" s="102">
        <f t="shared" si="12"/>
        <v>1197.74</v>
      </c>
      <c r="N87" s="102">
        <f t="shared" si="12"/>
        <v>1239.3400000000001</v>
      </c>
      <c r="O87" s="102">
        <f t="shared" si="12"/>
        <v>1242.6399999999999</v>
      </c>
      <c r="P87" s="102">
        <f t="shared" si="12"/>
        <v>1355.75</v>
      </c>
      <c r="Q87" s="102">
        <f t="shared" si="12"/>
        <v>1361.29</v>
      </c>
      <c r="R87" s="102">
        <f t="shared" si="12"/>
        <v>1301.79</v>
      </c>
      <c r="S87" s="102">
        <f t="shared" si="12"/>
        <v>1373.2400000000002</v>
      </c>
      <c r="T87" s="102">
        <f t="shared" si="12"/>
        <v>1359.2399999999998</v>
      </c>
      <c r="U87" s="102">
        <f t="shared" si="12"/>
        <v>1378.24</v>
      </c>
      <c r="V87" s="102">
        <f t="shared" si="12"/>
        <v>1313.94</v>
      </c>
      <c r="W87" s="102">
        <f t="shared" si="12"/>
        <v>1281.04</v>
      </c>
      <c r="X87" s="102">
        <f t="shared" si="12"/>
        <v>1272.04</v>
      </c>
      <c r="Y87" s="102">
        <f t="shared" si="12"/>
        <v>1322.64</v>
      </c>
      <c r="Z87" s="102">
        <f t="shared" si="12"/>
        <v>1414.44</v>
      </c>
      <c r="AA87" s="102">
        <f t="shared" si="12"/>
        <v>1411.44</v>
      </c>
      <c r="AB87" s="102">
        <f t="shared" si="12"/>
        <v>1397.44</v>
      </c>
      <c r="AC87" s="102">
        <f t="shared" si="12"/>
        <v>1445.7400000000002</v>
      </c>
      <c r="AD87" s="102">
        <f t="shared" si="12"/>
        <v>1392.44</v>
      </c>
      <c r="AE87" s="102">
        <f t="shared" si="12"/>
        <v>1382.44</v>
      </c>
      <c r="AF87" s="102">
        <f t="shared" si="12"/>
        <v>1365.44</v>
      </c>
      <c r="AG87" s="68">
        <f t="shared" si="12"/>
        <v>2065.09</v>
      </c>
      <c r="AH87" s="52">
        <f>MAX(B87:AF87)</f>
        <v>1445.7400000000002</v>
      </c>
      <c r="AI87" s="53">
        <f>MIN(B87:AF87)</f>
        <v>1113.24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/>
      <c r="J88" s="104">
        <v>120</v>
      </c>
      <c r="K88" s="104">
        <v>120</v>
      </c>
      <c r="L88" s="104">
        <v>120</v>
      </c>
      <c r="M88" s="104">
        <v>120</v>
      </c>
      <c r="N88" s="104">
        <v>100</v>
      </c>
      <c r="O88" s="104">
        <v>100</v>
      </c>
      <c r="P88" s="104"/>
      <c r="Q88" s="104"/>
      <c r="R88" s="104"/>
      <c r="S88" s="104"/>
      <c r="T88" s="104"/>
      <c r="U88" s="104"/>
      <c r="V88" s="104"/>
      <c r="W88" s="104"/>
      <c r="X88" s="104"/>
      <c r="Y88" s="104">
        <v>100</v>
      </c>
      <c r="Z88" s="104">
        <v>150</v>
      </c>
      <c r="AA88" s="104">
        <v>175</v>
      </c>
      <c r="AB88" s="104">
        <v>175</v>
      </c>
      <c r="AC88" s="104">
        <v>175</v>
      </c>
      <c r="AD88" s="104">
        <v>175</v>
      </c>
      <c r="AE88" s="104">
        <v>50</v>
      </c>
      <c r="AF88" s="104">
        <v>50</v>
      </c>
      <c r="AG88" s="95"/>
      <c r="AH88" s="52">
        <f t="shared" si="9"/>
        <v>175</v>
      </c>
      <c r="AI88" s="53">
        <f t="shared" si="10"/>
        <v>50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:AF89" si="13">B87+B88</f>
        <v>1355.8400000000001</v>
      </c>
      <c r="C89" s="102">
        <f t="shared" si="13"/>
        <v>1274.94</v>
      </c>
      <c r="D89" s="102">
        <f t="shared" si="13"/>
        <v>1268.04</v>
      </c>
      <c r="E89" s="102">
        <f t="shared" si="13"/>
        <v>1221.74</v>
      </c>
      <c r="F89" s="102">
        <f t="shared" si="13"/>
        <v>1213.44</v>
      </c>
      <c r="G89" s="102">
        <f t="shared" si="13"/>
        <v>1232.04</v>
      </c>
      <c r="H89" s="102">
        <f t="shared" si="13"/>
        <v>1236.3400000000001</v>
      </c>
      <c r="I89" s="102">
        <f t="shared" si="13"/>
        <v>1167.1400000000001</v>
      </c>
      <c r="J89" s="102">
        <f t="shared" si="13"/>
        <v>1233.24</v>
      </c>
      <c r="K89" s="102">
        <f t="shared" si="13"/>
        <v>1304.74</v>
      </c>
      <c r="L89" s="102">
        <f t="shared" si="13"/>
        <v>1345.1399999999999</v>
      </c>
      <c r="M89" s="102">
        <f t="shared" si="13"/>
        <v>1317.74</v>
      </c>
      <c r="N89" s="102">
        <f t="shared" si="13"/>
        <v>1339.3400000000001</v>
      </c>
      <c r="O89" s="102">
        <f t="shared" si="13"/>
        <v>1342.6399999999999</v>
      </c>
      <c r="P89" s="102">
        <f t="shared" si="13"/>
        <v>1355.75</v>
      </c>
      <c r="Q89" s="102">
        <f t="shared" si="13"/>
        <v>1361.29</v>
      </c>
      <c r="R89" s="102">
        <f t="shared" si="13"/>
        <v>1301.79</v>
      </c>
      <c r="S89" s="102">
        <f t="shared" si="13"/>
        <v>1373.2400000000002</v>
      </c>
      <c r="T89" s="102">
        <f t="shared" si="13"/>
        <v>1359.2399999999998</v>
      </c>
      <c r="U89" s="102">
        <f t="shared" si="13"/>
        <v>1378.24</v>
      </c>
      <c r="V89" s="102">
        <f t="shared" si="13"/>
        <v>1313.94</v>
      </c>
      <c r="W89" s="102">
        <f t="shared" si="13"/>
        <v>1281.04</v>
      </c>
      <c r="X89" s="102">
        <f t="shared" si="13"/>
        <v>1272.04</v>
      </c>
      <c r="Y89" s="102">
        <f t="shared" si="13"/>
        <v>1422.64</v>
      </c>
      <c r="Z89" s="102">
        <f t="shared" si="13"/>
        <v>1564.44</v>
      </c>
      <c r="AA89" s="102">
        <f t="shared" si="13"/>
        <v>1586.44</v>
      </c>
      <c r="AB89" s="102">
        <f t="shared" si="13"/>
        <v>1572.44</v>
      </c>
      <c r="AC89" s="102">
        <f t="shared" si="13"/>
        <v>1620.7400000000002</v>
      </c>
      <c r="AD89" s="102">
        <f t="shared" si="13"/>
        <v>1567.44</v>
      </c>
      <c r="AE89" s="102">
        <f t="shared" si="13"/>
        <v>1432.44</v>
      </c>
      <c r="AF89" s="102">
        <f t="shared" si="13"/>
        <v>1415.44</v>
      </c>
      <c r="AG89" s="95">
        <f>AG86+AG82+AG70+AG66+AG48+AG88</f>
        <v>1526.99</v>
      </c>
      <c r="AH89" s="52">
        <f t="shared" si="9"/>
        <v>1620.7400000000002</v>
      </c>
      <c r="AI89" s="53">
        <f t="shared" si="10"/>
        <v>1167.1400000000001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:AF90" si="14">B89-B97</f>
        <v>1355.8400000000001</v>
      </c>
      <c r="C90" s="102">
        <f t="shared" si="14"/>
        <v>1274.94</v>
      </c>
      <c r="D90" s="102">
        <f t="shared" si="14"/>
        <v>1268.04</v>
      </c>
      <c r="E90" s="102">
        <f t="shared" si="14"/>
        <v>1221.74</v>
      </c>
      <c r="F90" s="102">
        <f t="shared" si="14"/>
        <v>1213.44</v>
      </c>
      <c r="G90" s="102">
        <f t="shared" si="14"/>
        <v>1232.04</v>
      </c>
      <c r="H90" s="102">
        <f t="shared" si="14"/>
        <v>1236.3400000000001</v>
      </c>
      <c r="I90" s="102">
        <f t="shared" si="14"/>
        <v>1167.1400000000001</v>
      </c>
      <c r="J90" s="102">
        <f t="shared" si="14"/>
        <v>1233.24</v>
      </c>
      <c r="K90" s="102">
        <f t="shared" si="14"/>
        <v>1304.74</v>
      </c>
      <c r="L90" s="102">
        <f t="shared" si="14"/>
        <v>1345.1399999999999</v>
      </c>
      <c r="M90" s="102">
        <f t="shared" si="14"/>
        <v>1317.74</v>
      </c>
      <c r="N90" s="102">
        <f t="shared" si="14"/>
        <v>1339.3400000000001</v>
      </c>
      <c r="O90" s="102">
        <f t="shared" si="14"/>
        <v>1342.6399999999999</v>
      </c>
      <c r="P90" s="102">
        <f t="shared" si="14"/>
        <v>1355.75</v>
      </c>
      <c r="Q90" s="102">
        <f t="shared" si="14"/>
        <v>1361.29</v>
      </c>
      <c r="R90" s="102">
        <f t="shared" si="14"/>
        <v>1301.79</v>
      </c>
      <c r="S90" s="102">
        <f t="shared" si="14"/>
        <v>1373.2400000000002</v>
      </c>
      <c r="T90" s="102">
        <f t="shared" si="14"/>
        <v>1359.2399999999998</v>
      </c>
      <c r="U90" s="102">
        <f t="shared" si="14"/>
        <v>1378.24</v>
      </c>
      <c r="V90" s="102">
        <f t="shared" si="14"/>
        <v>1313.94</v>
      </c>
      <c r="W90" s="102">
        <f t="shared" si="14"/>
        <v>1281.04</v>
      </c>
      <c r="X90" s="102">
        <f t="shared" si="14"/>
        <v>1272.04</v>
      </c>
      <c r="Y90" s="102">
        <f t="shared" si="14"/>
        <v>1422.64</v>
      </c>
      <c r="Z90" s="102">
        <f t="shared" si="14"/>
        <v>1564.44</v>
      </c>
      <c r="AA90" s="102">
        <f t="shared" si="14"/>
        <v>1586.44</v>
      </c>
      <c r="AB90" s="102">
        <f t="shared" si="14"/>
        <v>1572.44</v>
      </c>
      <c r="AC90" s="102">
        <f t="shared" si="14"/>
        <v>1620.7400000000002</v>
      </c>
      <c r="AD90" s="102">
        <f t="shared" si="14"/>
        <v>1567.44</v>
      </c>
      <c r="AE90" s="102">
        <f t="shared" si="14"/>
        <v>1432.44</v>
      </c>
      <c r="AF90" s="102">
        <f t="shared" si="14"/>
        <v>1415.44</v>
      </c>
      <c r="AG90" s="95"/>
      <c r="AH90" s="52">
        <f t="shared" si="9"/>
        <v>1620.7400000000002</v>
      </c>
      <c r="AI90" s="53">
        <f t="shared" si="10"/>
        <v>1167.1400000000001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9"/>
        <v>0</v>
      </c>
      <c r="AI91" s="53">
        <f t="shared" si="10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9"/>
        <v>0</v>
      </c>
      <c r="AI92" s="53">
        <f t="shared" si="10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9"/>
        <v>0</v>
      </c>
      <c r="AI93" s="53">
        <f t="shared" si="10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9"/>
        <v>0</v>
      </c>
      <c r="AI94" s="53">
        <f t="shared" si="10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9"/>
        <v>0</v>
      </c>
      <c r="AI95" s="53">
        <f t="shared" si="10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9"/>
        <v>0</v>
      </c>
      <c r="AI96" s="53">
        <f t="shared" si="10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9"/>
        <v>0</v>
      </c>
      <c r="AI97" s="53">
        <f t="shared" si="10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:AF98" si="15">B82-B97</f>
        <v>394</v>
      </c>
      <c r="C98" s="67">
        <f t="shared" si="15"/>
        <v>395.8</v>
      </c>
      <c r="D98" s="67">
        <f t="shared" si="15"/>
        <v>379.2</v>
      </c>
      <c r="E98" s="67">
        <f t="shared" si="15"/>
        <v>408.7</v>
      </c>
      <c r="F98" s="67">
        <f t="shared" si="15"/>
        <v>440.29999999999995</v>
      </c>
      <c r="G98" s="67">
        <f t="shared" si="15"/>
        <v>458.79999999999995</v>
      </c>
      <c r="H98" s="67">
        <f t="shared" si="15"/>
        <v>463.1</v>
      </c>
      <c r="I98" s="67">
        <f t="shared" si="15"/>
        <v>429.90000000000003</v>
      </c>
      <c r="J98" s="67">
        <f t="shared" si="15"/>
        <v>440.4</v>
      </c>
      <c r="K98" s="67">
        <f t="shared" si="15"/>
        <v>474.29999999999995</v>
      </c>
      <c r="L98" s="67">
        <f t="shared" si="15"/>
        <v>493.9</v>
      </c>
      <c r="M98" s="67">
        <f t="shared" si="15"/>
        <v>455.9</v>
      </c>
      <c r="N98" s="67">
        <f t="shared" si="15"/>
        <v>496.1</v>
      </c>
      <c r="O98" s="67">
        <f t="shared" si="15"/>
        <v>449</v>
      </c>
      <c r="P98" s="67">
        <f t="shared" si="15"/>
        <v>449.4</v>
      </c>
      <c r="Q98" s="67">
        <f t="shared" si="15"/>
        <v>431.9</v>
      </c>
      <c r="R98" s="67">
        <f t="shared" si="15"/>
        <v>417.5</v>
      </c>
      <c r="S98" s="67">
        <f t="shared" si="15"/>
        <v>437.9</v>
      </c>
      <c r="T98" s="67">
        <f t="shared" si="15"/>
        <v>483.9</v>
      </c>
      <c r="U98" s="67">
        <f t="shared" si="15"/>
        <v>483.3</v>
      </c>
      <c r="V98" s="67">
        <f t="shared" si="15"/>
        <v>502.5</v>
      </c>
      <c r="W98" s="67">
        <f t="shared" si="15"/>
        <v>499.5</v>
      </c>
      <c r="X98" s="67">
        <f t="shared" si="15"/>
        <v>480.5</v>
      </c>
      <c r="Y98" s="67">
        <f t="shared" si="15"/>
        <v>397.1</v>
      </c>
      <c r="Z98" s="67">
        <f t="shared" si="15"/>
        <v>430.8</v>
      </c>
      <c r="AA98" s="67">
        <f t="shared" si="15"/>
        <v>359.3</v>
      </c>
      <c r="AB98" s="67">
        <f t="shared" si="15"/>
        <v>376.5</v>
      </c>
      <c r="AC98" s="67">
        <f t="shared" si="15"/>
        <v>370.7</v>
      </c>
      <c r="AD98" s="67">
        <f t="shared" si="15"/>
        <v>420.8</v>
      </c>
      <c r="AE98" s="67">
        <f t="shared" si="15"/>
        <v>425.2</v>
      </c>
      <c r="AF98" s="67">
        <f t="shared" si="15"/>
        <v>451.09999999999997</v>
      </c>
      <c r="AG98" s="95"/>
      <c r="AH98" s="52">
        <f t="shared" si="9"/>
        <v>502.5</v>
      </c>
      <c r="AI98" s="53">
        <f t="shared" si="10"/>
        <v>359.3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49.970999999999997</v>
      </c>
      <c r="C99" s="108">
        <v>49.887999999999998</v>
      </c>
      <c r="D99" s="108">
        <v>49.965000000000003</v>
      </c>
      <c r="E99" s="108">
        <v>50.017000000000003</v>
      </c>
      <c r="F99" s="108">
        <v>50.097000000000001</v>
      </c>
      <c r="G99" s="108">
        <v>49.927</v>
      </c>
      <c r="H99" s="108">
        <v>50.081000000000003</v>
      </c>
      <c r="I99" s="108">
        <v>50.045999999999999</v>
      </c>
      <c r="J99" s="108">
        <v>50.027999999999999</v>
      </c>
      <c r="K99" s="108">
        <v>50.061</v>
      </c>
      <c r="L99" s="108">
        <v>50.066000000000003</v>
      </c>
      <c r="M99" s="108">
        <v>49.978000000000002</v>
      </c>
      <c r="N99" s="108">
        <v>50.055</v>
      </c>
      <c r="O99" s="108">
        <v>49.965000000000003</v>
      </c>
      <c r="P99" s="108">
        <v>50.04</v>
      </c>
      <c r="Q99" s="108">
        <v>49.936999999999998</v>
      </c>
      <c r="R99" s="108">
        <v>49.932000000000002</v>
      </c>
      <c r="S99" s="108">
        <v>49.628</v>
      </c>
      <c r="T99" s="108">
        <v>49.901000000000003</v>
      </c>
      <c r="U99" s="108">
        <v>49.957000000000001</v>
      </c>
      <c r="V99" s="108">
        <v>49.957000000000001</v>
      </c>
      <c r="W99" s="108">
        <v>49.957000000000001</v>
      </c>
      <c r="X99" s="108">
        <v>50.03</v>
      </c>
      <c r="Y99" s="108">
        <v>49.917000000000002</v>
      </c>
      <c r="Z99" s="108">
        <v>50.024000000000001</v>
      </c>
      <c r="AA99" s="108">
        <v>49.853000000000002</v>
      </c>
      <c r="AB99" s="108">
        <v>50.064</v>
      </c>
      <c r="AC99" s="108">
        <v>50.036999999999999</v>
      </c>
      <c r="AD99" s="108">
        <v>50.042999999999999</v>
      </c>
      <c r="AE99" s="108">
        <v>49.96</v>
      </c>
      <c r="AF99" s="108">
        <v>50.005000000000003</v>
      </c>
      <c r="AG99" s="109"/>
      <c r="AH99" s="52">
        <f t="shared" si="9"/>
        <v>50.097000000000001</v>
      </c>
      <c r="AI99" s="53">
        <f t="shared" si="10"/>
        <v>49.628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125.4</v>
      </c>
      <c r="C100" s="72">
        <v>122.8</v>
      </c>
      <c r="D100" s="72">
        <v>126.7</v>
      </c>
      <c r="E100" s="72">
        <v>127</v>
      </c>
      <c r="F100" s="72">
        <v>129.9</v>
      </c>
      <c r="G100" s="72">
        <v>128.1</v>
      </c>
      <c r="H100" s="72">
        <v>126.1</v>
      </c>
      <c r="I100" s="72">
        <v>129.1</v>
      </c>
      <c r="J100" s="72">
        <v>128.1</v>
      </c>
      <c r="K100" s="72">
        <v>127</v>
      </c>
      <c r="L100" s="72">
        <v>126.5</v>
      </c>
      <c r="M100" s="72">
        <v>127</v>
      </c>
      <c r="N100" s="72">
        <v>126.1</v>
      </c>
      <c r="O100" s="72">
        <v>125.1</v>
      </c>
      <c r="P100" s="72">
        <v>126</v>
      </c>
      <c r="Q100" s="72">
        <v>126.3</v>
      </c>
      <c r="R100" s="72">
        <v>126.6</v>
      </c>
      <c r="S100" s="72">
        <v>126.9</v>
      </c>
      <c r="T100" s="72">
        <v>125.8</v>
      </c>
      <c r="U100" s="72">
        <v>127.1</v>
      </c>
      <c r="V100" s="72">
        <v>127.1</v>
      </c>
      <c r="W100" s="72">
        <v>127.1</v>
      </c>
      <c r="X100" s="72">
        <v>127.1</v>
      </c>
      <c r="Y100" s="72">
        <v>127.8</v>
      </c>
      <c r="Z100" s="72">
        <v>127.1</v>
      </c>
      <c r="AA100" s="72">
        <v>125.3</v>
      </c>
      <c r="AB100" s="72">
        <v>126.6</v>
      </c>
      <c r="AC100" s="72">
        <v>124.7</v>
      </c>
      <c r="AD100" s="72">
        <v>125.9</v>
      </c>
      <c r="AE100" s="72">
        <v>126.4</v>
      </c>
      <c r="AF100" s="72">
        <v>125.9</v>
      </c>
      <c r="AG100" s="111"/>
      <c r="AH100" s="52">
        <f t="shared" si="9"/>
        <v>129.9</v>
      </c>
      <c r="AI100" s="53">
        <f t="shared" si="10"/>
        <v>122.8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130.6</v>
      </c>
      <c r="C101" s="72">
        <v>129</v>
      </c>
      <c r="D101" s="72">
        <v>131.69999999999999</v>
      </c>
      <c r="E101" s="72">
        <v>131.9</v>
      </c>
      <c r="F101" s="72">
        <v>133.6</v>
      </c>
      <c r="G101" s="72">
        <v>131.9</v>
      </c>
      <c r="H101" s="72">
        <v>130.6</v>
      </c>
      <c r="I101" s="72">
        <v>132.1</v>
      </c>
      <c r="J101" s="72">
        <v>130.6</v>
      </c>
      <c r="K101" s="72">
        <v>129.5</v>
      </c>
      <c r="L101" s="72">
        <v>129</v>
      </c>
      <c r="M101" s="72">
        <v>129.4</v>
      </c>
      <c r="N101" s="72">
        <v>128.4</v>
      </c>
      <c r="O101" s="72">
        <v>127.8</v>
      </c>
      <c r="P101" s="72">
        <v>129</v>
      </c>
      <c r="Q101" s="72">
        <v>129.6</v>
      </c>
      <c r="R101" s="72">
        <v>129.1</v>
      </c>
      <c r="S101" s="72">
        <v>129</v>
      </c>
      <c r="T101" s="72">
        <v>128.69999999999999</v>
      </c>
      <c r="U101" s="72">
        <v>130.1</v>
      </c>
      <c r="V101" s="72">
        <v>130.1</v>
      </c>
      <c r="W101" s="72">
        <v>130.1</v>
      </c>
      <c r="X101" s="72">
        <v>130.1</v>
      </c>
      <c r="Y101" s="72">
        <v>130.5</v>
      </c>
      <c r="Z101" s="72">
        <v>129.6</v>
      </c>
      <c r="AA101" s="72">
        <v>127.6</v>
      </c>
      <c r="AB101" s="72">
        <v>130.5</v>
      </c>
      <c r="AC101" s="72">
        <v>128.9</v>
      </c>
      <c r="AD101" s="72">
        <v>129.4</v>
      </c>
      <c r="AE101" s="72">
        <v>130.1</v>
      </c>
      <c r="AF101" s="72">
        <v>130.4</v>
      </c>
      <c r="AG101" s="111"/>
      <c r="AH101" s="52">
        <f t="shared" si="9"/>
        <v>133.6</v>
      </c>
      <c r="AI101" s="53">
        <f t="shared" si="10"/>
        <v>127.6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126.9</v>
      </c>
      <c r="C102" s="72">
        <v>129.1</v>
      </c>
      <c r="D102" s="72">
        <v>129.1</v>
      </c>
      <c r="E102" s="72">
        <v>129.80000000000001</v>
      </c>
      <c r="F102" s="72">
        <v>131</v>
      </c>
      <c r="G102" s="72">
        <v>131.5</v>
      </c>
      <c r="H102" s="72">
        <v>129.69999999999999</v>
      </c>
      <c r="I102" s="72">
        <v>131</v>
      </c>
      <c r="J102" s="72">
        <v>131.19999999999999</v>
      </c>
      <c r="K102" s="72">
        <v>131.5</v>
      </c>
      <c r="L102" s="72">
        <v>128.80000000000001</v>
      </c>
      <c r="M102" s="72">
        <v>131.1</v>
      </c>
      <c r="N102" s="72">
        <v>131.30000000000001</v>
      </c>
      <c r="O102" s="72">
        <v>130.9</v>
      </c>
      <c r="P102" s="72">
        <v>128.80000000000001</v>
      </c>
      <c r="Q102" s="72">
        <v>130</v>
      </c>
      <c r="R102" s="72">
        <v>126.1</v>
      </c>
      <c r="S102" s="72">
        <v>128.19999999999999</v>
      </c>
      <c r="T102" s="72">
        <v>130.4</v>
      </c>
      <c r="U102" s="72">
        <v>127.9</v>
      </c>
      <c r="V102" s="72">
        <v>127.9</v>
      </c>
      <c r="W102" s="72">
        <v>127.9</v>
      </c>
      <c r="X102" s="72">
        <v>127.9</v>
      </c>
      <c r="Y102" s="72">
        <v>122.4</v>
      </c>
      <c r="Z102" s="72">
        <v>124.9</v>
      </c>
      <c r="AA102" s="72">
        <v>126.6</v>
      </c>
      <c r="AB102" s="72">
        <v>128.4</v>
      </c>
      <c r="AC102" s="72">
        <v>127.8</v>
      </c>
      <c r="AD102" s="72">
        <v>128</v>
      </c>
      <c r="AE102" s="72">
        <v>128.4</v>
      </c>
      <c r="AF102" s="72">
        <v>128.4</v>
      </c>
      <c r="AG102" s="111"/>
      <c r="AH102" s="52">
        <f t="shared" si="9"/>
        <v>131.5</v>
      </c>
      <c r="AI102" s="53">
        <f t="shared" si="10"/>
        <v>122.4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9"/>
        <v>0</v>
      </c>
      <c r="AI103" s="53">
        <f t="shared" si="10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128.19999999999999</v>
      </c>
      <c r="C104" s="113">
        <v>126.9</v>
      </c>
      <c r="D104" s="113">
        <v>132.19999999999999</v>
      </c>
      <c r="E104" s="113">
        <v>132.6</v>
      </c>
      <c r="F104" s="113">
        <v>136.5</v>
      </c>
      <c r="G104" s="113">
        <v>130.80000000000001</v>
      </c>
      <c r="H104" s="113">
        <v>130.5</v>
      </c>
      <c r="I104" s="113">
        <v>135.69999999999999</v>
      </c>
      <c r="J104" s="113">
        <v>132.4</v>
      </c>
      <c r="K104" s="113">
        <v>134</v>
      </c>
      <c r="L104" s="113">
        <v>133.6</v>
      </c>
      <c r="M104" s="113">
        <v>133.80000000000001</v>
      </c>
      <c r="N104" s="113">
        <v>132.30000000000001</v>
      </c>
      <c r="O104" s="113">
        <v>130.80000000000001</v>
      </c>
      <c r="P104" s="113">
        <v>132.80000000000001</v>
      </c>
      <c r="Q104" s="113">
        <v>133.6</v>
      </c>
      <c r="R104" s="113">
        <v>130.69999999999999</v>
      </c>
      <c r="S104" s="113">
        <v>131.19999999999999</v>
      </c>
      <c r="T104" s="113">
        <v>131.69999999999999</v>
      </c>
      <c r="U104" s="113">
        <v>132.80000000000001</v>
      </c>
      <c r="V104" s="113">
        <v>132.80000000000001</v>
      </c>
      <c r="W104" s="113">
        <v>132.80000000000001</v>
      </c>
      <c r="X104" s="113">
        <v>132.80000000000001</v>
      </c>
      <c r="Y104" s="113">
        <v>134.80000000000001</v>
      </c>
      <c r="Z104" s="113">
        <v>134.80000000000001</v>
      </c>
      <c r="AA104" s="113">
        <v>131.69999999999999</v>
      </c>
      <c r="AB104" s="113">
        <v>134.5</v>
      </c>
      <c r="AC104" s="113">
        <v>132.9</v>
      </c>
      <c r="AD104" s="113">
        <v>131.30000000000001</v>
      </c>
      <c r="AE104" s="113">
        <v>130.4</v>
      </c>
      <c r="AF104" s="113">
        <v>128.9</v>
      </c>
      <c r="AG104" s="114"/>
      <c r="AH104" s="52">
        <f t="shared" si="9"/>
        <v>136.5</v>
      </c>
      <c r="AI104" s="53">
        <f t="shared" si="10"/>
        <v>126.9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128.30000000000001</v>
      </c>
      <c r="C105" s="72">
        <v>132.30000000000001</v>
      </c>
      <c r="D105" s="72">
        <v>130.30000000000001</v>
      </c>
      <c r="E105" s="72">
        <v>133.6</v>
      </c>
      <c r="F105" s="72">
        <v>135.80000000000001</v>
      </c>
      <c r="G105" s="72">
        <v>137.1</v>
      </c>
      <c r="H105" s="72">
        <v>133.1</v>
      </c>
      <c r="I105" s="72">
        <v>131.9</v>
      </c>
      <c r="J105" s="72">
        <v>135.5</v>
      </c>
      <c r="K105" s="72">
        <v>136</v>
      </c>
      <c r="L105" s="72">
        <v>131.1</v>
      </c>
      <c r="M105" s="72">
        <v>132.80000000000001</v>
      </c>
      <c r="N105" s="72">
        <v>129.30000000000001</v>
      </c>
      <c r="O105" s="72">
        <v>120.6</v>
      </c>
      <c r="P105" s="72">
        <v>131.65</v>
      </c>
      <c r="Q105" s="72">
        <v>134.4</v>
      </c>
      <c r="R105" s="72">
        <v>130.69999999999999</v>
      </c>
      <c r="S105" s="72">
        <v>133.6</v>
      </c>
      <c r="T105" s="72">
        <v>130</v>
      </c>
      <c r="U105" s="72">
        <v>130</v>
      </c>
      <c r="V105" s="72">
        <v>130</v>
      </c>
      <c r="W105" s="72">
        <v>130</v>
      </c>
      <c r="X105" s="72">
        <v>130</v>
      </c>
      <c r="Y105" s="72">
        <v>134.6</v>
      </c>
      <c r="Z105" s="72">
        <v>133</v>
      </c>
      <c r="AA105" s="72">
        <v>133.19999999999999</v>
      </c>
      <c r="AB105" s="72"/>
      <c r="AC105" s="72">
        <v>128.6</v>
      </c>
      <c r="AD105" s="72">
        <v>131</v>
      </c>
      <c r="AE105" s="72">
        <v>136.5</v>
      </c>
      <c r="AF105" s="72">
        <v>128.69999999999999</v>
      </c>
      <c r="AG105" s="111"/>
      <c r="AH105" s="52">
        <f t="shared" si="9"/>
        <v>137.1</v>
      </c>
      <c r="AI105" s="53">
        <f t="shared" si="10"/>
        <v>120.6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65.7</v>
      </c>
      <c r="C106" s="99">
        <v>65.099999999999994</v>
      </c>
      <c r="D106" s="99">
        <v>66.2</v>
      </c>
      <c r="E106" s="99">
        <v>66.400000000000006</v>
      </c>
      <c r="F106" s="99">
        <v>67.2</v>
      </c>
      <c r="G106" s="99">
        <v>66.400000000000006</v>
      </c>
      <c r="H106" s="99">
        <v>65.8</v>
      </c>
      <c r="I106" s="99">
        <v>66.400000000000006</v>
      </c>
      <c r="J106" s="99">
        <v>65.599999999999994</v>
      </c>
      <c r="K106" s="99">
        <v>64.900000000000006</v>
      </c>
      <c r="L106" s="99">
        <v>64.900000000000006</v>
      </c>
      <c r="M106" s="99">
        <v>65</v>
      </c>
      <c r="N106" s="99">
        <v>64.3</v>
      </c>
      <c r="O106" s="99">
        <v>64</v>
      </c>
      <c r="P106" s="99">
        <v>64.3</v>
      </c>
      <c r="Q106" s="99">
        <v>64.998999999999995</v>
      </c>
      <c r="R106" s="99">
        <v>65</v>
      </c>
      <c r="S106" s="99">
        <v>64.8</v>
      </c>
      <c r="T106" s="99">
        <v>64.900000000000006</v>
      </c>
      <c r="U106" s="99">
        <v>65.2</v>
      </c>
      <c r="V106" s="99">
        <v>65.2</v>
      </c>
      <c r="W106" s="99">
        <v>65.2</v>
      </c>
      <c r="X106" s="99">
        <v>65.2</v>
      </c>
      <c r="Y106" s="99">
        <v>65.7</v>
      </c>
      <c r="Z106" s="99">
        <v>65.3</v>
      </c>
      <c r="AA106" s="99">
        <v>64.2</v>
      </c>
      <c r="AB106" s="99"/>
      <c r="AC106" s="99">
        <v>64.900000000000006</v>
      </c>
      <c r="AD106" s="99">
        <v>64.900000000000006</v>
      </c>
      <c r="AE106" s="99">
        <v>65.400000000000006</v>
      </c>
      <c r="AF106" s="99">
        <v>65.7</v>
      </c>
      <c r="AG106" s="115"/>
      <c r="AH106" s="52">
        <f t="shared" si="9"/>
        <v>67.2</v>
      </c>
      <c r="AI106" s="53">
        <f t="shared" si="10"/>
        <v>64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9"/>
        <v>0</v>
      </c>
      <c r="AI107" s="53">
        <f t="shared" si="10"/>
        <v>0</v>
      </c>
    </row>
    <row r="108" spans="1:88" ht="15.75" thickBot="1" x14ac:dyDescent="0.3">
      <c r="A108" s="117" t="s">
        <v>116</v>
      </c>
      <c r="B108" s="118">
        <f t="shared" ref="B108:AF108" si="16">SUM(B18,B24,B27:B28,B56,B58:B59,B61,B63,B109:B113,B135,B141,B147,B156,B158,B170,B177,B180:B181,B188,B190,B192,B196:B198,B200:B202,B207,B213:B214,B216:B218,B226,B231)</f>
        <v>103.8</v>
      </c>
      <c r="C108" s="118">
        <f t="shared" si="16"/>
        <v>97.74</v>
      </c>
      <c r="D108" s="118">
        <f t="shared" si="16"/>
        <v>96.94</v>
      </c>
      <c r="E108" s="118">
        <f t="shared" si="16"/>
        <v>80.839999999999989</v>
      </c>
      <c r="F108" s="118">
        <f t="shared" si="16"/>
        <v>81.239999999999995</v>
      </c>
      <c r="G108" s="118">
        <f t="shared" si="16"/>
        <v>108.14</v>
      </c>
      <c r="H108" s="118">
        <f t="shared" si="16"/>
        <v>131.94</v>
      </c>
      <c r="I108" s="118">
        <f t="shared" si="16"/>
        <v>150.23999999999998</v>
      </c>
      <c r="J108" s="118">
        <f t="shared" si="16"/>
        <v>172.83999999999997</v>
      </c>
      <c r="K108" s="118">
        <f t="shared" si="16"/>
        <v>220.64</v>
      </c>
      <c r="L108" s="118">
        <f t="shared" si="16"/>
        <v>235.64</v>
      </c>
      <c r="M108" s="118">
        <f t="shared" si="16"/>
        <v>246.73999999999998</v>
      </c>
      <c r="N108" s="118">
        <f t="shared" si="16"/>
        <v>239.04000000000002</v>
      </c>
      <c r="O108" s="118">
        <f t="shared" si="16"/>
        <v>244.04</v>
      </c>
      <c r="P108" s="118">
        <v>42</v>
      </c>
      <c r="Q108" s="118">
        <f t="shared" si="16"/>
        <v>183.75</v>
      </c>
      <c r="R108" s="118">
        <f t="shared" si="16"/>
        <v>196.45</v>
      </c>
      <c r="S108" s="118">
        <f t="shared" si="16"/>
        <v>153.70000000000002</v>
      </c>
      <c r="T108" s="118">
        <f t="shared" si="16"/>
        <v>170.9</v>
      </c>
      <c r="U108" s="118">
        <f t="shared" si="16"/>
        <v>157.5</v>
      </c>
      <c r="V108" s="118">
        <f t="shared" si="16"/>
        <v>139.30000000000001</v>
      </c>
      <c r="W108" s="118">
        <f t="shared" si="16"/>
        <v>137.30000000000001</v>
      </c>
      <c r="X108" s="118">
        <f t="shared" si="16"/>
        <v>218.4</v>
      </c>
      <c r="Y108" s="118">
        <f t="shared" si="16"/>
        <v>208.5</v>
      </c>
      <c r="Z108" s="118">
        <f t="shared" si="16"/>
        <v>269.10000000000002</v>
      </c>
      <c r="AA108" s="118">
        <f t="shared" si="16"/>
        <v>283</v>
      </c>
      <c r="AB108" s="118">
        <f t="shared" si="16"/>
        <v>268.8</v>
      </c>
      <c r="AC108" s="118">
        <f t="shared" si="16"/>
        <v>258.8</v>
      </c>
      <c r="AD108" s="118">
        <f t="shared" si="16"/>
        <v>226</v>
      </c>
      <c r="AE108" s="118">
        <f t="shared" si="16"/>
        <v>168.29999999999998</v>
      </c>
      <c r="AF108" s="118">
        <f t="shared" si="16"/>
        <v>125.8</v>
      </c>
      <c r="AG108" s="119"/>
      <c r="AH108" s="52">
        <f t="shared" si="9"/>
        <v>283</v>
      </c>
      <c r="AI108" s="53">
        <f t="shared" si="10"/>
        <v>42</v>
      </c>
    </row>
    <row r="109" spans="1:88" x14ac:dyDescent="0.25">
      <c r="A109" s="107" t="s">
        <v>117</v>
      </c>
      <c r="B109" s="120">
        <v>-3.3</v>
      </c>
      <c r="C109" s="120">
        <v>-3.2</v>
      </c>
      <c r="D109" s="120">
        <v>-3.2</v>
      </c>
      <c r="E109" s="120">
        <v>-10.9</v>
      </c>
      <c r="F109" s="120">
        <v>-2.8</v>
      </c>
      <c r="G109" s="120">
        <v>-6.5</v>
      </c>
      <c r="H109" s="120">
        <v>-6.7</v>
      </c>
      <c r="I109" s="120">
        <v>-3.4</v>
      </c>
      <c r="J109" s="120">
        <v>-3.2</v>
      </c>
      <c r="K109" s="120">
        <v>0</v>
      </c>
      <c r="L109" s="120">
        <v>4.7</v>
      </c>
      <c r="M109" s="120">
        <v>6.2</v>
      </c>
      <c r="N109" s="120">
        <v>9.4</v>
      </c>
      <c r="O109" s="120">
        <v>16.399999999999999</v>
      </c>
      <c r="P109" s="120">
        <v>24.9</v>
      </c>
      <c r="Q109" s="120">
        <v>23.1</v>
      </c>
      <c r="R109" s="120">
        <v>18.399999999999999</v>
      </c>
      <c r="S109" s="120">
        <v>13.2</v>
      </c>
      <c r="T109" s="120">
        <v>10.8</v>
      </c>
      <c r="U109" s="120">
        <v>21.2</v>
      </c>
      <c r="V109" s="120">
        <v>21.2</v>
      </c>
      <c r="W109" s="120">
        <v>21.2</v>
      </c>
      <c r="X109" s="120">
        <v>25</v>
      </c>
      <c r="Y109" s="120">
        <v>27.1</v>
      </c>
      <c r="Z109" s="120">
        <v>36.6</v>
      </c>
      <c r="AA109" s="120">
        <v>41.6</v>
      </c>
      <c r="AB109" s="120">
        <v>20.3</v>
      </c>
      <c r="AC109" s="120">
        <v>25.6</v>
      </c>
      <c r="AD109" s="120">
        <v>18</v>
      </c>
      <c r="AE109" s="120">
        <v>8.3000000000000007</v>
      </c>
      <c r="AF109" s="120">
        <v>5</v>
      </c>
      <c r="AG109" s="121">
        <v>75</v>
      </c>
      <c r="AH109" s="52">
        <f t="shared" si="9"/>
        <v>41.6</v>
      </c>
      <c r="AI109" s="53">
        <f t="shared" si="10"/>
        <v>-10.9</v>
      </c>
    </row>
    <row r="110" spans="1:88" x14ac:dyDescent="0.25">
      <c r="A110" s="110" t="s">
        <v>118</v>
      </c>
      <c r="B110" s="122">
        <v>1.3</v>
      </c>
      <c r="C110" s="122">
        <v>0.8</v>
      </c>
      <c r="D110" s="122">
        <v>0.8</v>
      </c>
      <c r="E110" s="122">
        <v>-10.7</v>
      </c>
      <c r="F110" s="122">
        <v>0.6</v>
      </c>
      <c r="G110" s="122">
        <v>-6.4</v>
      </c>
      <c r="H110" s="122">
        <v>-7.4</v>
      </c>
      <c r="I110" s="122">
        <v>-3.1</v>
      </c>
      <c r="J110" s="122">
        <v>-7.3</v>
      </c>
      <c r="K110" s="122">
        <v>-3.1</v>
      </c>
      <c r="L110" s="122">
        <v>2.4</v>
      </c>
      <c r="M110" s="122">
        <v>5.6</v>
      </c>
      <c r="N110" s="122">
        <v>9.4</v>
      </c>
      <c r="O110" s="122">
        <v>21.5</v>
      </c>
      <c r="P110" s="122">
        <v>41.7</v>
      </c>
      <c r="Q110" s="122">
        <v>38.5</v>
      </c>
      <c r="R110" s="122">
        <v>30.5</v>
      </c>
      <c r="S110" s="122">
        <v>26.2</v>
      </c>
      <c r="T110" s="122">
        <v>23.1</v>
      </c>
      <c r="U110" s="122">
        <v>37</v>
      </c>
      <c r="V110" s="122">
        <v>37</v>
      </c>
      <c r="W110" s="122">
        <v>37</v>
      </c>
      <c r="X110" s="122">
        <v>17</v>
      </c>
      <c r="Y110" s="122">
        <v>39.1</v>
      </c>
      <c r="Z110" s="122">
        <v>51.4</v>
      </c>
      <c r="AA110" s="122">
        <v>56.7</v>
      </c>
      <c r="AB110" s="122">
        <v>27.8</v>
      </c>
      <c r="AC110" s="122">
        <v>34.9</v>
      </c>
      <c r="AD110" s="122">
        <v>27</v>
      </c>
      <c r="AE110" s="122">
        <v>18.100000000000001</v>
      </c>
      <c r="AF110" s="122">
        <v>13</v>
      </c>
      <c r="AG110" s="121">
        <v>240</v>
      </c>
      <c r="AH110" s="52">
        <f t="shared" si="9"/>
        <v>56.7</v>
      </c>
      <c r="AI110" s="53">
        <f t="shared" si="10"/>
        <v>-10.7</v>
      </c>
    </row>
    <row r="111" spans="1:88" x14ac:dyDescent="0.25">
      <c r="A111" s="110" t="s">
        <v>119</v>
      </c>
      <c r="B111" s="122">
        <v>-77</v>
      </c>
      <c r="C111" s="122">
        <v>-78</v>
      </c>
      <c r="D111" s="122">
        <v>-78</v>
      </c>
      <c r="E111" s="122">
        <v>-90</v>
      </c>
      <c r="F111" s="122">
        <v>-89</v>
      </c>
      <c r="G111" s="122">
        <v>-72</v>
      </c>
      <c r="H111" s="122">
        <v>-62</v>
      </c>
      <c r="I111" s="122">
        <v>-40</v>
      </c>
      <c r="J111" s="122">
        <v>-19</v>
      </c>
      <c r="K111" s="122">
        <v>3</v>
      </c>
      <c r="L111" s="122">
        <v>6.3</v>
      </c>
      <c r="M111" s="122">
        <f>3.3+3.5</f>
        <v>6.8</v>
      </c>
      <c r="N111" s="122">
        <v>2.9</v>
      </c>
      <c r="O111" s="122">
        <v>-10</v>
      </c>
      <c r="P111" s="122">
        <v>-54.8</v>
      </c>
      <c r="Q111" s="122">
        <v>-58.9</v>
      </c>
      <c r="R111" s="122">
        <v>-23</v>
      </c>
      <c r="S111" s="122">
        <v>-61</v>
      </c>
      <c r="T111" s="122">
        <v>-50</v>
      </c>
      <c r="U111" s="122">
        <v>-83</v>
      </c>
      <c r="V111" s="122">
        <v>-83</v>
      </c>
      <c r="W111" s="122">
        <v>-83</v>
      </c>
      <c r="X111" s="122">
        <v>-15</v>
      </c>
      <c r="Y111" s="122">
        <v>-48.2</v>
      </c>
      <c r="Z111" s="122">
        <v>-18.8</v>
      </c>
      <c r="AA111" s="122">
        <v>-11.9</v>
      </c>
      <c r="AB111" s="122">
        <v>8</v>
      </c>
      <c r="AC111" s="122">
        <v>-2</v>
      </c>
      <c r="AD111" s="122">
        <v>-24</v>
      </c>
      <c r="AE111" s="122">
        <v>-49</v>
      </c>
      <c r="AF111" s="122">
        <v>-65</v>
      </c>
      <c r="AG111" s="121">
        <v>240</v>
      </c>
      <c r="AH111" s="52">
        <f t="shared" si="9"/>
        <v>8</v>
      </c>
      <c r="AI111" s="53">
        <f t="shared" si="10"/>
        <v>-90</v>
      </c>
    </row>
    <row r="112" spans="1:88" x14ac:dyDescent="0.25">
      <c r="A112" s="110" t="s">
        <v>120</v>
      </c>
      <c r="B112" s="122">
        <v>-1</v>
      </c>
      <c r="C112" s="122">
        <v>-5</v>
      </c>
      <c r="D112" s="122">
        <v>4</v>
      </c>
      <c r="E112" s="122">
        <v>6.6</v>
      </c>
      <c r="F112" s="122">
        <v>9.3000000000000007</v>
      </c>
      <c r="G112" s="122">
        <v>8.8000000000000007</v>
      </c>
      <c r="H112" s="122">
        <v>14.2</v>
      </c>
      <c r="I112" s="122">
        <v>16.399999999999999</v>
      </c>
      <c r="J112" s="122">
        <v>6.1</v>
      </c>
      <c r="K112" s="122">
        <v>7.5</v>
      </c>
      <c r="L112" s="122">
        <v>6.1</v>
      </c>
      <c r="M112" s="122">
        <v>10.7</v>
      </c>
      <c r="N112" s="122">
        <v>7.6</v>
      </c>
      <c r="O112" s="122">
        <v>5.7</v>
      </c>
      <c r="P112" s="122">
        <v>15.4</v>
      </c>
      <c r="Q112" s="122">
        <v>11</v>
      </c>
      <c r="R112" s="122">
        <v>27.4</v>
      </c>
      <c r="S112" s="122">
        <v>24.3</v>
      </c>
      <c r="T112" s="122">
        <v>16.399999999999999</v>
      </c>
      <c r="U112" s="122">
        <v>25.9</v>
      </c>
      <c r="V112" s="122">
        <v>25.9</v>
      </c>
      <c r="W112" s="122">
        <v>25.9</v>
      </c>
      <c r="X112" s="122">
        <v>32</v>
      </c>
      <c r="Y112" s="122">
        <v>37.299999999999997</v>
      </c>
      <c r="Z112" s="122">
        <v>30.6</v>
      </c>
      <c r="AA112" s="122">
        <v>12.4</v>
      </c>
      <c r="AB112" s="122">
        <v>14.7</v>
      </c>
      <c r="AC112" s="122">
        <v>9</v>
      </c>
      <c r="AD112" s="122">
        <v>6</v>
      </c>
      <c r="AE112" s="122">
        <v>1.1000000000000001</v>
      </c>
      <c r="AF112" s="122">
        <v>-8</v>
      </c>
      <c r="AG112" s="121">
        <v>60</v>
      </c>
      <c r="AH112" s="52">
        <f t="shared" si="9"/>
        <v>37.299999999999997</v>
      </c>
      <c r="AI112" s="53">
        <f t="shared" si="10"/>
        <v>-8</v>
      </c>
    </row>
    <row r="113" spans="1:37" x14ac:dyDescent="0.25">
      <c r="A113" s="123" t="s">
        <v>121</v>
      </c>
      <c r="B113" s="124">
        <v>82.6</v>
      </c>
      <c r="C113" s="124">
        <v>81</v>
      </c>
      <c r="D113" s="124">
        <v>66.3</v>
      </c>
      <c r="E113" s="124">
        <v>78.8</v>
      </c>
      <c r="F113" s="124">
        <v>56.3</v>
      </c>
      <c r="G113" s="124">
        <v>77.400000000000006</v>
      </c>
      <c r="H113" s="124">
        <v>87</v>
      </c>
      <c r="I113" s="124">
        <v>78</v>
      </c>
      <c r="J113" s="124">
        <v>93.9</v>
      </c>
      <c r="K113" s="124">
        <v>108</v>
      </c>
      <c r="L113" s="124">
        <v>108.6</v>
      </c>
      <c r="M113" s="124">
        <v>109.9</v>
      </c>
      <c r="N113" s="124">
        <v>102.3</v>
      </c>
      <c r="O113" s="124">
        <v>103</v>
      </c>
      <c r="P113" s="124">
        <v>50.1</v>
      </c>
      <c r="Q113" s="124">
        <v>67</v>
      </c>
      <c r="R113" s="124">
        <v>40.1</v>
      </c>
      <c r="S113" s="124">
        <v>58.1</v>
      </c>
      <c r="T113" s="124">
        <v>80</v>
      </c>
      <c r="U113" s="124">
        <v>36.799999999999997</v>
      </c>
      <c r="V113" s="124">
        <v>36.799999999999997</v>
      </c>
      <c r="W113" s="124">
        <v>36.799999999999997</v>
      </c>
      <c r="X113" s="124">
        <v>65</v>
      </c>
      <c r="Y113" s="124">
        <v>59.9</v>
      </c>
      <c r="Z113" s="124">
        <v>76</v>
      </c>
      <c r="AA113" s="124">
        <v>91.9</v>
      </c>
      <c r="AB113" s="124">
        <v>105.7</v>
      </c>
      <c r="AC113" s="124">
        <v>99</v>
      </c>
      <c r="AD113" s="124">
        <v>105.3</v>
      </c>
      <c r="AE113" s="124">
        <v>96.1</v>
      </c>
      <c r="AF113" s="124">
        <v>81</v>
      </c>
      <c r="AG113" s="125">
        <v>120</v>
      </c>
      <c r="AH113" s="52">
        <f t="shared" si="9"/>
        <v>109.9</v>
      </c>
      <c r="AI113" s="53">
        <f t="shared" si="10"/>
        <v>36.799999999999997</v>
      </c>
    </row>
    <row r="114" spans="1:37" x14ac:dyDescent="0.25">
      <c r="A114" s="123" t="s">
        <v>122</v>
      </c>
      <c r="B114" s="124">
        <v>100</v>
      </c>
      <c r="C114" s="124">
        <v>101</v>
      </c>
      <c r="D114" s="124">
        <v>89</v>
      </c>
      <c r="E114" s="124">
        <v>100</v>
      </c>
      <c r="F114" s="124">
        <v>78.8</v>
      </c>
      <c r="G114" s="124">
        <v>90.7</v>
      </c>
      <c r="H114" s="124">
        <v>-91.6</v>
      </c>
      <c r="I114" s="124">
        <v>75.099999999999994</v>
      </c>
      <c r="J114" s="124">
        <v>85.9</v>
      </c>
      <c r="K114" s="124">
        <v>90.8</v>
      </c>
      <c r="L114" s="124">
        <v>90</v>
      </c>
      <c r="M114" s="124">
        <v>91.2</v>
      </c>
      <c r="N114" s="124">
        <v>87.8</v>
      </c>
      <c r="O114" s="124">
        <v>95</v>
      </c>
      <c r="P114" s="124">
        <v>79</v>
      </c>
      <c r="Q114" s="124">
        <v>75</v>
      </c>
      <c r="R114" s="124">
        <v>49.3</v>
      </c>
      <c r="S114" s="124">
        <v>66.5</v>
      </c>
      <c r="T114" s="124">
        <v>87.6</v>
      </c>
      <c r="U114" s="124">
        <v>95.1</v>
      </c>
      <c r="V114" s="124">
        <v>95.1</v>
      </c>
      <c r="W114" s="124">
        <v>95.1</v>
      </c>
      <c r="X114" s="124">
        <v>65</v>
      </c>
      <c r="Y114" s="124">
        <v>59.4</v>
      </c>
      <c r="Z114" s="124">
        <v>57.9</v>
      </c>
      <c r="AA114" s="124">
        <v>66.8</v>
      </c>
      <c r="AB114" s="124">
        <v>92.6</v>
      </c>
      <c r="AC114" s="124">
        <v>101</v>
      </c>
      <c r="AD114" s="124">
        <v>94</v>
      </c>
      <c r="AE114" s="124">
        <v>97.6</v>
      </c>
      <c r="AF114" s="124">
        <v>90</v>
      </c>
      <c r="AG114" s="125"/>
      <c r="AH114" s="52">
        <f t="shared" si="9"/>
        <v>101</v>
      </c>
      <c r="AI114" s="53">
        <f t="shared" si="10"/>
        <v>-91.6</v>
      </c>
    </row>
    <row r="115" spans="1:37" x14ac:dyDescent="0.25">
      <c r="A115" s="123" t="s">
        <v>123</v>
      </c>
      <c r="B115" s="124"/>
      <c r="C115" s="124"/>
      <c r="D115" s="124"/>
      <c r="E115" s="124"/>
      <c r="F115" s="124"/>
      <c r="G115" s="124">
        <v>57.2</v>
      </c>
      <c r="H115" s="124">
        <v>55.4</v>
      </c>
      <c r="I115" s="124">
        <v>48.8</v>
      </c>
      <c r="J115" s="124">
        <v>46.7</v>
      </c>
      <c r="K115" s="124">
        <v>42.2</v>
      </c>
      <c r="L115" s="124">
        <v>40</v>
      </c>
      <c r="M115" s="124">
        <v>36.9</v>
      </c>
      <c r="N115" s="124">
        <v>34.700000000000003</v>
      </c>
      <c r="O115" s="124">
        <v>36.9</v>
      </c>
      <c r="P115" s="124">
        <v>31.3</v>
      </c>
      <c r="Q115" s="124">
        <v>-13.1</v>
      </c>
      <c r="R115" s="124">
        <v>20</v>
      </c>
      <c r="S115" s="124">
        <v>30.8</v>
      </c>
      <c r="T115" s="124">
        <v>30</v>
      </c>
      <c r="U115" s="124">
        <v>20.7</v>
      </c>
      <c r="V115" s="124">
        <v>20.7</v>
      </c>
      <c r="W115" s="124">
        <v>20.7</v>
      </c>
      <c r="X115" s="124">
        <v>31</v>
      </c>
      <c r="Y115" s="124">
        <v>8.1999999999999993</v>
      </c>
      <c r="Z115" s="124">
        <v>-6.6</v>
      </c>
      <c r="AA115" s="124">
        <v>-0.8</v>
      </c>
      <c r="AB115" s="124">
        <v>20.9</v>
      </c>
      <c r="AC115" s="124">
        <v>22.3</v>
      </c>
      <c r="AD115" s="124">
        <v>31</v>
      </c>
      <c r="AE115" s="124">
        <v>45</v>
      </c>
      <c r="AF115" s="124">
        <v>56.3</v>
      </c>
      <c r="AG115" s="126"/>
      <c r="AH115" s="52">
        <f t="shared" si="9"/>
        <v>57.2</v>
      </c>
      <c r="AI115" s="53">
        <f t="shared" si="10"/>
        <v>-13.1</v>
      </c>
    </row>
    <row r="116" spans="1:37" x14ac:dyDescent="0.25">
      <c r="A116" s="127" t="s">
        <v>124</v>
      </c>
      <c r="B116" s="113">
        <v>-18</v>
      </c>
      <c r="C116" s="113">
        <v>-14</v>
      </c>
      <c r="D116" s="113">
        <v>-13</v>
      </c>
      <c r="E116" s="113">
        <v>-9.5</v>
      </c>
      <c r="F116" s="113">
        <v>-4</v>
      </c>
      <c r="G116" s="113">
        <v>-3.3</v>
      </c>
      <c r="H116" s="113">
        <v>3.2</v>
      </c>
      <c r="I116" s="113">
        <v>8.5</v>
      </c>
      <c r="J116" s="113">
        <v>29.4</v>
      </c>
      <c r="K116" s="113">
        <v>28.1</v>
      </c>
      <c r="L116" s="113">
        <v>28.3</v>
      </c>
      <c r="M116" s="113">
        <v>27.5</v>
      </c>
      <c r="N116" s="113">
        <v>15.7</v>
      </c>
      <c r="O116" s="113">
        <v>15</v>
      </c>
      <c r="P116" s="113">
        <v>30</v>
      </c>
      <c r="Q116" s="113">
        <v>29.1</v>
      </c>
      <c r="R116" s="113">
        <v>-12</v>
      </c>
      <c r="S116" s="113">
        <v>-17.5</v>
      </c>
      <c r="T116" s="113">
        <v>-15.6</v>
      </c>
      <c r="U116" s="113">
        <v>-16.100000000000001</v>
      </c>
      <c r="V116" s="113">
        <v>-16.100000000000001</v>
      </c>
      <c r="W116" s="113">
        <v>-16.100000000000001</v>
      </c>
      <c r="X116" s="113">
        <v>-24</v>
      </c>
      <c r="Y116" s="113">
        <v>-38.799999999999997</v>
      </c>
      <c r="Z116" s="113">
        <v>-45</v>
      </c>
      <c r="AA116" s="113">
        <v>-42.8</v>
      </c>
      <c r="AB116" s="113">
        <v>-36</v>
      </c>
      <c r="AC116" s="113">
        <v>-34.299999999999997</v>
      </c>
      <c r="AD116" s="113">
        <v>-30</v>
      </c>
      <c r="AE116" s="113">
        <v>-23</v>
      </c>
      <c r="AF116" s="113">
        <v>-15</v>
      </c>
      <c r="AG116" s="126"/>
      <c r="AH116" s="52">
        <f t="shared" si="9"/>
        <v>30</v>
      </c>
      <c r="AI116" s="53">
        <f t="shared" si="10"/>
        <v>-45</v>
      </c>
    </row>
    <row r="117" spans="1:37" ht="15.75" thickBot="1" x14ac:dyDescent="0.3">
      <c r="A117" s="127" t="s">
        <v>125</v>
      </c>
      <c r="B117" s="113">
        <v>102</v>
      </c>
      <c r="C117" s="113">
        <v>92</v>
      </c>
      <c r="D117" s="113">
        <v>89</v>
      </c>
      <c r="E117" s="113">
        <v>83.3</v>
      </c>
      <c r="F117" s="113">
        <v>79.5</v>
      </c>
      <c r="G117" s="113">
        <v>75.3</v>
      </c>
      <c r="H117" s="113">
        <v>73.900000000000006</v>
      </c>
      <c r="I117" s="113">
        <v>70.900000000000006</v>
      </c>
      <c r="J117" s="113">
        <v>55.4</v>
      </c>
      <c r="K117" s="113">
        <v>65.2</v>
      </c>
      <c r="L117" s="113">
        <v>68</v>
      </c>
      <c r="M117" s="113">
        <v>59.8</v>
      </c>
      <c r="N117" s="113">
        <v>69.599999999999994</v>
      </c>
      <c r="O117" s="113">
        <v>66.7</v>
      </c>
      <c r="P117" s="113">
        <v>106</v>
      </c>
      <c r="Q117" s="113">
        <v>99.9</v>
      </c>
      <c r="R117" s="113">
        <v>91.7</v>
      </c>
      <c r="S117" s="113">
        <v>97.3</v>
      </c>
      <c r="T117" s="113">
        <v>89.3</v>
      </c>
      <c r="U117" s="113">
        <v>101.7</v>
      </c>
      <c r="V117" s="113">
        <v>101.7</v>
      </c>
      <c r="W117" s="113">
        <v>101.7</v>
      </c>
      <c r="X117" s="113">
        <v>86</v>
      </c>
      <c r="Y117" s="113">
        <v>100.8</v>
      </c>
      <c r="Z117" s="113">
        <v>119.8</v>
      </c>
      <c r="AA117" s="113">
        <v>113.6</v>
      </c>
      <c r="AB117" s="113">
        <v>115</v>
      </c>
      <c r="AC117" s="113">
        <v>118</v>
      </c>
      <c r="AD117" s="113">
        <v>109</v>
      </c>
      <c r="AE117" s="113">
        <v>111</v>
      </c>
      <c r="AF117" s="113">
        <v>107</v>
      </c>
      <c r="AG117" s="126"/>
      <c r="AH117" s="52">
        <f t="shared" si="9"/>
        <v>119.8</v>
      </c>
      <c r="AI117" s="53">
        <f t="shared" si="10"/>
        <v>55.4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17">SUM(B119:B223)</f>
        <v>0</v>
      </c>
      <c r="C224" s="144">
        <f t="shared" si="17"/>
        <v>0</v>
      </c>
      <c r="D224" s="144">
        <f t="shared" si="17"/>
        <v>0</v>
      </c>
      <c r="E224" s="144">
        <f t="shared" si="17"/>
        <v>0</v>
      </c>
      <c r="F224" s="144">
        <f t="shared" si="17"/>
        <v>0</v>
      </c>
      <c r="G224" s="144">
        <f t="shared" si="17"/>
        <v>0</v>
      </c>
      <c r="H224" s="144">
        <f t="shared" si="17"/>
        <v>0</v>
      </c>
      <c r="I224" s="144">
        <f t="shared" si="17"/>
        <v>0</v>
      </c>
      <c r="J224" s="144">
        <f t="shared" si="17"/>
        <v>0</v>
      </c>
      <c r="K224" s="144">
        <f t="shared" si="17"/>
        <v>0</v>
      </c>
      <c r="L224" s="144">
        <f t="shared" si="17"/>
        <v>0</v>
      </c>
      <c r="M224" s="144">
        <f t="shared" si="17"/>
        <v>0</v>
      </c>
      <c r="N224" s="144">
        <f t="shared" si="17"/>
        <v>0</v>
      </c>
      <c r="O224" s="144">
        <f t="shared" si="17"/>
        <v>0</v>
      </c>
      <c r="P224" s="144">
        <f t="shared" si="17"/>
        <v>0</v>
      </c>
      <c r="Q224" s="144">
        <f t="shared" si="17"/>
        <v>0</v>
      </c>
      <c r="R224" s="144">
        <f t="shared" si="17"/>
        <v>0</v>
      </c>
      <c r="S224" s="144">
        <f t="shared" si="17"/>
        <v>0</v>
      </c>
      <c r="T224" s="144">
        <f t="shared" si="17"/>
        <v>0</v>
      </c>
      <c r="U224" s="144">
        <f t="shared" si="17"/>
        <v>0</v>
      </c>
      <c r="V224" s="144">
        <f t="shared" si="17"/>
        <v>0</v>
      </c>
      <c r="W224" s="144">
        <f t="shared" si="17"/>
        <v>0</v>
      </c>
      <c r="X224" s="144">
        <f t="shared" si="17"/>
        <v>0</v>
      </c>
      <c r="Y224" s="144">
        <f t="shared" si="17"/>
        <v>0</v>
      </c>
      <c r="Z224" s="144">
        <f t="shared" si="17"/>
        <v>0</v>
      </c>
      <c r="AA224" s="144">
        <f t="shared" si="17"/>
        <v>0</v>
      </c>
      <c r="AB224" s="144">
        <f t="shared" si="17"/>
        <v>0</v>
      </c>
      <c r="AC224" s="144">
        <f t="shared" si="17"/>
        <v>0</v>
      </c>
      <c r="AD224" s="144">
        <f t="shared" si="17"/>
        <v>0</v>
      </c>
      <c r="AE224" s="144">
        <f t="shared" si="17"/>
        <v>0</v>
      </c>
      <c r="AF224" s="145">
        <f t="shared" si="17"/>
        <v>0</v>
      </c>
      <c r="AG224" s="146">
        <f t="shared" si="17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18">AF226</f>
        <v>0</v>
      </c>
      <c r="C226" s="149">
        <v>0.3</v>
      </c>
      <c r="D226" s="149">
        <f t="shared" ref="D226:P231" si="19">C226</f>
        <v>0.3</v>
      </c>
      <c r="E226" s="149">
        <f t="shared" si="19"/>
        <v>0.3</v>
      </c>
      <c r="F226" s="149">
        <f t="shared" si="19"/>
        <v>0.3</v>
      </c>
      <c r="G226" s="149">
        <f t="shared" si="19"/>
        <v>0.3</v>
      </c>
      <c r="H226" s="149">
        <f t="shared" si="19"/>
        <v>0.3</v>
      </c>
      <c r="I226" s="149">
        <f t="shared" si="19"/>
        <v>0.3</v>
      </c>
      <c r="J226" s="149">
        <f t="shared" si="19"/>
        <v>0.3</v>
      </c>
      <c r="K226" s="149">
        <f t="shared" si="19"/>
        <v>0.3</v>
      </c>
      <c r="L226" s="149">
        <f t="shared" si="19"/>
        <v>0.3</v>
      </c>
      <c r="M226" s="149">
        <f t="shared" si="19"/>
        <v>0.3</v>
      </c>
      <c r="N226" s="149">
        <f t="shared" si="19"/>
        <v>0.3</v>
      </c>
      <c r="O226" s="149">
        <f t="shared" si="19"/>
        <v>0.3</v>
      </c>
      <c r="P226" s="149">
        <f t="shared" si="19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18"/>
        <v>0</v>
      </c>
      <c r="C227" s="136">
        <v>0.4</v>
      </c>
      <c r="D227" s="136">
        <f t="shared" si="19"/>
        <v>0.4</v>
      </c>
      <c r="E227" s="136">
        <f t="shared" si="19"/>
        <v>0.4</v>
      </c>
      <c r="F227" s="136">
        <f t="shared" si="19"/>
        <v>0.4</v>
      </c>
      <c r="G227" s="136">
        <f t="shared" si="19"/>
        <v>0.4</v>
      </c>
      <c r="H227" s="136">
        <f t="shared" si="19"/>
        <v>0.4</v>
      </c>
      <c r="I227" s="136">
        <f t="shared" si="19"/>
        <v>0.4</v>
      </c>
      <c r="J227" s="136">
        <f t="shared" si="19"/>
        <v>0.4</v>
      </c>
      <c r="K227" s="136">
        <f t="shared" si="19"/>
        <v>0.4</v>
      </c>
      <c r="L227" s="136">
        <f t="shared" si="19"/>
        <v>0.4</v>
      </c>
      <c r="M227" s="136">
        <f t="shared" si="19"/>
        <v>0.4</v>
      </c>
      <c r="N227" s="136">
        <f t="shared" si="19"/>
        <v>0.4</v>
      </c>
      <c r="O227" s="136">
        <f t="shared" si="19"/>
        <v>0.4</v>
      </c>
      <c r="P227" s="136">
        <f t="shared" si="19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18"/>
        <v>0</v>
      </c>
      <c r="C228" s="136">
        <v>1.5</v>
      </c>
      <c r="D228" s="136">
        <f t="shared" si="19"/>
        <v>1.5</v>
      </c>
      <c r="E228" s="136">
        <f t="shared" si="19"/>
        <v>1.5</v>
      </c>
      <c r="F228" s="136">
        <f t="shared" si="19"/>
        <v>1.5</v>
      </c>
      <c r="G228" s="136">
        <f t="shared" si="19"/>
        <v>1.5</v>
      </c>
      <c r="H228" s="136">
        <f t="shared" si="19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19"/>
        <v>1.5</v>
      </c>
      <c r="K228" s="136">
        <f t="shared" ca="1" si="19"/>
        <v>1.5</v>
      </c>
      <c r="L228" s="136">
        <f t="shared" ca="1" si="19"/>
        <v>1.5</v>
      </c>
      <c r="M228" s="136">
        <f t="shared" ca="1" si="19"/>
        <v>1.5</v>
      </c>
      <c r="N228" s="136">
        <f t="shared" ca="1" si="19"/>
        <v>1.5</v>
      </c>
      <c r="O228" s="136">
        <f t="shared" ca="1" si="19"/>
        <v>1.5</v>
      </c>
      <c r="P228" s="136">
        <f t="shared" ca="1" si="19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18"/>
        <v>0</v>
      </c>
      <c r="C229" s="136">
        <v>0.3</v>
      </c>
      <c r="D229" s="136">
        <f t="shared" si="19"/>
        <v>0.3</v>
      </c>
      <c r="E229" s="136">
        <f t="shared" si="19"/>
        <v>0.3</v>
      </c>
      <c r="F229" s="136">
        <f t="shared" si="19"/>
        <v>0.3</v>
      </c>
      <c r="G229" s="136">
        <f t="shared" si="19"/>
        <v>0.3</v>
      </c>
      <c r="H229" s="136">
        <f t="shared" si="19"/>
        <v>0.3</v>
      </c>
      <c r="I229" s="136">
        <f t="shared" si="19"/>
        <v>0.3</v>
      </c>
      <c r="J229" s="136">
        <f t="shared" si="19"/>
        <v>0.3</v>
      </c>
      <c r="K229" s="136">
        <f t="shared" si="19"/>
        <v>0.3</v>
      </c>
      <c r="L229" s="136">
        <f t="shared" si="19"/>
        <v>0.3</v>
      </c>
      <c r="M229" s="136">
        <f t="shared" si="19"/>
        <v>0.3</v>
      </c>
      <c r="N229" s="136">
        <f t="shared" si="19"/>
        <v>0.3</v>
      </c>
      <c r="O229" s="136">
        <f t="shared" si="19"/>
        <v>0.3</v>
      </c>
      <c r="P229" s="136">
        <f t="shared" si="19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18"/>
        <v>0</v>
      </c>
      <c r="C230" s="136">
        <v>0.4</v>
      </c>
      <c r="D230" s="136">
        <f t="shared" si="19"/>
        <v>0.4</v>
      </c>
      <c r="E230" s="136">
        <f t="shared" si="19"/>
        <v>0.4</v>
      </c>
      <c r="F230" s="136">
        <f t="shared" si="19"/>
        <v>0.4</v>
      </c>
      <c r="G230" s="136">
        <f t="shared" si="19"/>
        <v>0.4</v>
      </c>
      <c r="H230" s="136">
        <f t="shared" si="19"/>
        <v>0.4</v>
      </c>
      <c r="I230" s="136">
        <f t="shared" si="19"/>
        <v>0.4</v>
      </c>
      <c r="J230" s="136">
        <f t="shared" si="19"/>
        <v>0.4</v>
      </c>
      <c r="K230" s="136">
        <f t="shared" si="19"/>
        <v>0.4</v>
      </c>
      <c r="L230" s="136">
        <f t="shared" si="19"/>
        <v>0.4</v>
      </c>
      <c r="M230" s="136">
        <f t="shared" si="19"/>
        <v>0.4</v>
      </c>
      <c r="N230" s="136">
        <f t="shared" si="19"/>
        <v>0.4</v>
      </c>
      <c r="O230" s="136">
        <f t="shared" si="19"/>
        <v>0.4</v>
      </c>
      <c r="P230" s="136">
        <f t="shared" si="19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18"/>
        <v>0</v>
      </c>
      <c r="C231" s="140">
        <v>0.64</v>
      </c>
      <c r="D231" s="140">
        <f t="shared" si="19"/>
        <v>0.64</v>
      </c>
      <c r="E231" s="140">
        <f t="shared" si="19"/>
        <v>0.64</v>
      </c>
      <c r="F231" s="140">
        <f t="shared" si="19"/>
        <v>0.64</v>
      </c>
      <c r="G231" s="140">
        <f t="shared" si="19"/>
        <v>0.64</v>
      </c>
      <c r="H231" s="140">
        <f t="shared" si="19"/>
        <v>0.64</v>
      </c>
      <c r="I231" s="140">
        <f t="shared" si="19"/>
        <v>0.64</v>
      </c>
      <c r="J231" s="140">
        <f t="shared" si="19"/>
        <v>0.64</v>
      </c>
      <c r="K231" s="140">
        <f t="shared" si="19"/>
        <v>0.64</v>
      </c>
      <c r="L231" s="140">
        <f t="shared" si="19"/>
        <v>0.64</v>
      </c>
      <c r="M231" s="140">
        <f t="shared" si="19"/>
        <v>0.64</v>
      </c>
      <c r="N231" s="140">
        <f t="shared" si="19"/>
        <v>0.64</v>
      </c>
      <c r="O231" s="140">
        <f t="shared" si="19"/>
        <v>0.64</v>
      </c>
      <c r="P231" s="140">
        <f t="shared" si="19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20">SUM(B226:B231)</f>
        <v>0</v>
      </c>
      <c r="C232" s="144">
        <f t="shared" si="20"/>
        <v>3.54</v>
      </c>
      <c r="D232" s="144">
        <f t="shared" si="20"/>
        <v>3.54</v>
      </c>
      <c r="E232" s="144">
        <f t="shared" si="20"/>
        <v>3.54</v>
      </c>
      <c r="F232" s="144">
        <f t="shared" si="20"/>
        <v>3.54</v>
      </c>
      <c r="G232" s="144">
        <f t="shared" si="20"/>
        <v>3.54</v>
      </c>
      <c r="H232" s="144">
        <f t="shared" si="20"/>
        <v>3.54</v>
      </c>
      <c r="I232" s="144">
        <f t="shared" ca="1" si="20"/>
        <v>3.54</v>
      </c>
      <c r="J232" s="144">
        <f t="shared" ca="1" si="20"/>
        <v>3.54</v>
      </c>
      <c r="K232" s="144">
        <f t="shared" ca="1" si="20"/>
        <v>3.54</v>
      </c>
      <c r="L232" s="144">
        <f t="shared" ca="1" si="20"/>
        <v>3.54</v>
      </c>
      <c r="M232" s="144">
        <f t="shared" ca="1" si="20"/>
        <v>3.54</v>
      </c>
      <c r="N232" s="144">
        <f t="shared" ca="1" si="20"/>
        <v>3.54</v>
      </c>
      <c r="O232" s="144">
        <f t="shared" ca="1" si="20"/>
        <v>3.54</v>
      </c>
      <c r="P232" s="144">
        <f t="shared" ca="1" si="20"/>
        <v>3.54</v>
      </c>
      <c r="Q232" s="144">
        <f t="shared" si="20"/>
        <v>0</v>
      </c>
      <c r="R232" s="144">
        <f t="shared" si="20"/>
        <v>0</v>
      </c>
      <c r="S232" s="144">
        <f t="shared" si="20"/>
        <v>0</v>
      </c>
      <c r="T232" s="144">
        <f t="shared" si="20"/>
        <v>0</v>
      </c>
      <c r="U232" s="144">
        <f t="shared" si="20"/>
        <v>0</v>
      </c>
      <c r="V232" s="144">
        <f t="shared" si="20"/>
        <v>0</v>
      </c>
      <c r="W232" s="144">
        <f t="shared" si="20"/>
        <v>0</v>
      </c>
      <c r="X232" s="144">
        <f t="shared" si="20"/>
        <v>0</v>
      </c>
      <c r="Y232" s="144">
        <f t="shared" si="20"/>
        <v>0</v>
      </c>
      <c r="Z232" s="144">
        <f t="shared" si="20"/>
        <v>0</v>
      </c>
      <c r="AA232" s="144">
        <f t="shared" si="20"/>
        <v>0</v>
      </c>
      <c r="AB232" s="144">
        <f t="shared" si="20"/>
        <v>0</v>
      </c>
      <c r="AC232" s="144">
        <f t="shared" si="20"/>
        <v>0</v>
      </c>
      <c r="AD232" s="144">
        <f t="shared" si="20"/>
        <v>0</v>
      </c>
      <c r="AE232" s="144">
        <f t="shared" si="20"/>
        <v>0</v>
      </c>
      <c r="AF232" s="144">
        <f t="shared" si="20"/>
        <v>0</v>
      </c>
      <c r="AG232" s="154">
        <f t="shared" si="20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1345.1399999999999</v>
      </c>
      <c r="C241" s="170">
        <f>INDEX(G9:N9,1,MATCH(MAX(G89:N89),G89:N89,0))</f>
        <v>0.3125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23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2079/12/23)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2079/12/23)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21">B89</f>
        <v>1355.8400000000001</v>
      </c>
      <c r="U246" s="180">
        <f t="shared" si="21"/>
        <v>1274.94</v>
      </c>
      <c r="V246" s="180">
        <f t="shared" si="21"/>
        <v>1268.04</v>
      </c>
      <c r="W246" s="180">
        <f t="shared" si="21"/>
        <v>1221.74</v>
      </c>
      <c r="X246" s="180">
        <f t="shared" si="21"/>
        <v>1213.44</v>
      </c>
      <c r="Y246" s="180">
        <f t="shared" si="21"/>
        <v>1232.04</v>
      </c>
      <c r="Z246" s="180">
        <f t="shared" si="21"/>
        <v>1236.3400000000001</v>
      </c>
      <c r="AA246" s="180">
        <f t="shared" si="21"/>
        <v>1167.1400000000001</v>
      </c>
      <c r="AB246" s="180">
        <f t="shared" si="21"/>
        <v>1233.24</v>
      </c>
      <c r="AC246" s="180">
        <f t="shared" si="21"/>
        <v>1304.74</v>
      </c>
      <c r="AD246" s="180">
        <f t="shared" si="21"/>
        <v>1345.1399999999999</v>
      </c>
      <c r="AE246" s="180">
        <f t="shared" si="21"/>
        <v>1317.74</v>
      </c>
      <c r="AF246" s="180">
        <f t="shared" si="21"/>
        <v>1339.3400000000001</v>
      </c>
      <c r="AG246" s="180">
        <f t="shared" si="21"/>
        <v>1342.6399999999999</v>
      </c>
      <c r="AH246" s="180">
        <f t="shared" si="21"/>
        <v>1355.75</v>
      </c>
      <c r="AI246" s="180">
        <f t="shared" si="21"/>
        <v>1361.29</v>
      </c>
      <c r="AJ246" s="180">
        <f t="shared" si="21"/>
        <v>1301.79</v>
      </c>
      <c r="AK246" s="180">
        <f t="shared" si="21"/>
        <v>1373.2400000000002</v>
      </c>
      <c r="AL246" s="180">
        <f t="shared" si="21"/>
        <v>1359.2399999999998</v>
      </c>
      <c r="AM246" s="180">
        <f t="shared" si="21"/>
        <v>1378.24</v>
      </c>
      <c r="AN246" s="180">
        <f t="shared" si="21"/>
        <v>1313.94</v>
      </c>
      <c r="AO246" s="180">
        <f t="shared" si="21"/>
        <v>1281.04</v>
      </c>
      <c r="AP246" s="180">
        <f t="shared" si="21"/>
        <v>1272.04</v>
      </c>
      <c r="AQ246" s="180">
        <f t="shared" si="21"/>
        <v>1422.64</v>
      </c>
      <c r="AR246" s="180">
        <f t="shared" si="21"/>
        <v>1564.44</v>
      </c>
      <c r="AS246" s="180">
        <f t="shared" si="21"/>
        <v>1586.44</v>
      </c>
      <c r="AT246" s="180">
        <f t="shared" si="21"/>
        <v>1572.44</v>
      </c>
      <c r="AU246" s="180">
        <f t="shared" si="21"/>
        <v>1620.7400000000002</v>
      </c>
      <c r="AV246" s="180">
        <f t="shared" si="21"/>
        <v>1567.44</v>
      </c>
      <c r="AW246" s="180">
        <f t="shared" si="21"/>
        <v>1432.44</v>
      </c>
      <c r="AX246" s="180">
        <f t="shared" si="21"/>
        <v>1415.44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22">C231</f>
        <v>0.64</v>
      </c>
      <c r="C267" s="183">
        <f t="shared" si="22"/>
        <v>0.64</v>
      </c>
      <c r="D267" s="183">
        <f t="shared" si="22"/>
        <v>0.64</v>
      </c>
      <c r="E267" s="183">
        <f t="shared" si="22"/>
        <v>0.64</v>
      </c>
      <c r="F267" s="183">
        <f t="shared" si="22"/>
        <v>0.64</v>
      </c>
      <c r="G267" s="183">
        <f t="shared" si="22"/>
        <v>0.64</v>
      </c>
      <c r="H267" s="183">
        <f t="shared" si="22"/>
        <v>0.64</v>
      </c>
      <c r="I267" s="183">
        <f t="shared" si="22"/>
        <v>0.64</v>
      </c>
      <c r="J267" s="183">
        <f t="shared" si="22"/>
        <v>0.64</v>
      </c>
      <c r="K267" s="183">
        <f t="shared" si="22"/>
        <v>0.64</v>
      </c>
      <c r="L267" s="183">
        <f t="shared" si="22"/>
        <v>0.64</v>
      </c>
      <c r="M267" s="183">
        <f t="shared" si="22"/>
        <v>0.64</v>
      </c>
      <c r="N267" s="183">
        <f t="shared" si="22"/>
        <v>0.64</v>
      </c>
      <c r="O267" s="183">
        <f t="shared" si="22"/>
        <v>0.64</v>
      </c>
      <c r="P267" s="183">
        <f t="shared" si="22"/>
        <v>0</v>
      </c>
      <c r="Q267" s="183">
        <f t="shared" si="22"/>
        <v>0</v>
      </c>
      <c r="R267" s="183">
        <f t="shared" si="22"/>
        <v>0</v>
      </c>
      <c r="S267" s="183">
        <f t="shared" si="22"/>
        <v>0</v>
      </c>
      <c r="T267" s="183">
        <f t="shared" si="22"/>
        <v>0</v>
      </c>
      <c r="U267" s="183">
        <f t="shared" si="22"/>
        <v>0</v>
      </c>
      <c r="V267" s="183">
        <f t="shared" si="22"/>
        <v>0</v>
      </c>
      <c r="W267" s="183">
        <f t="shared" si="22"/>
        <v>0</v>
      </c>
      <c r="X267" s="183">
        <f t="shared" si="22"/>
        <v>0</v>
      </c>
      <c r="Y267" s="183">
        <f t="shared" si="22"/>
        <v>0</v>
      </c>
      <c r="Z267" s="183">
        <f t="shared" si="22"/>
        <v>0</v>
      </c>
      <c r="AA267" s="183">
        <f t="shared" si="22"/>
        <v>0</v>
      </c>
      <c r="AB267" s="183">
        <f t="shared" si="22"/>
        <v>0</v>
      </c>
      <c r="AC267" s="183">
        <f t="shared" si="22"/>
        <v>0</v>
      </c>
      <c r="AD267" s="183">
        <f t="shared" si="22"/>
        <v>0</v>
      </c>
      <c r="AE267" s="183">
        <f t="shared" si="22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23">IF(B235&lt;100,"",B235-520)</f>
        <v/>
      </c>
      <c r="C268" s="184" t="str">
        <f t="shared" si="23"/>
        <v/>
      </c>
      <c r="D268" s="184" t="str">
        <f t="shared" si="23"/>
        <v/>
      </c>
      <c r="E268" s="184" t="str">
        <f t="shared" si="23"/>
        <v/>
      </c>
      <c r="F268" s="184" t="str">
        <f t="shared" si="23"/>
        <v/>
      </c>
      <c r="G268" s="184" t="str">
        <f t="shared" si="23"/>
        <v/>
      </c>
      <c r="H268" s="184" t="str">
        <f t="shared" si="23"/>
        <v/>
      </c>
      <c r="I268" s="184" t="str">
        <f t="shared" si="23"/>
        <v/>
      </c>
      <c r="J268" s="184" t="str">
        <f t="shared" si="23"/>
        <v/>
      </c>
      <c r="K268" s="184" t="str">
        <f t="shared" si="23"/>
        <v/>
      </c>
      <c r="L268" s="184" t="str">
        <f t="shared" si="23"/>
        <v/>
      </c>
      <c r="M268" s="184" t="str">
        <f t="shared" si="23"/>
        <v/>
      </c>
      <c r="N268" s="184" t="str">
        <f t="shared" si="23"/>
        <v/>
      </c>
      <c r="O268" s="184" t="str">
        <f t="shared" si="23"/>
        <v/>
      </c>
      <c r="P268" s="184" t="str">
        <f t="shared" si="23"/>
        <v/>
      </c>
      <c r="Q268" s="184" t="str">
        <f t="shared" si="23"/>
        <v/>
      </c>
      <c r="R268" s="184" t="str">
        <f t="shared" si="23"/>
        <v/>
      </c>
      <c r="S268" s="184" t="str">
        <f t="shared" si="23"/>
        <v/>
      </c>
      <c r="T268" s="184" t="str">
        <f t="shared" si="23"/>
        <v/>
      </c>
      <c r="U268" s="184" t="str">
        <f t="shared" si="23"/>
        <v/>
      </c>
      <c r="V268" s="184" t="str">
        <f t="shared" si="23"/>
        <v/>
      </c>
      <c r="W268" s="184" t="str">
        <f t="shared" si="23"/>
        <v/>
      </c>
      <c r="X268" s="184" t="str">
        <f t="shared" si="23"/>
        <v/>
      </c>
      <c r="Y268" s="184" t="str">
        <f t="shared" si="23"/>
        <v/>
      </c>
      <c r="Z268" s="184" t="str">
        <f t="shared" si="23"/>
        <v/>
      </c>
      <c r="AA268" s="184" t="str">
        <f t="shared" si="23"/>
        <v/>
      </c>
      <c r="AB268" s="184" t="str">
        <f t="shared" si="23"/>
        <v/>
      </c>
      <c r="AC268" s="184" t="str">
        <f t="shared" si="23"/>
        <v/>
      </c>
      <c r="AD268" s="184" t="str">
        <f t="shared" si="23"/>
        <v/>
      </c>
      <c r="AE268" s="184" t="str">
        <f t="shared" si="23"/>
        <v/>
      </c>
      <c r="AF268" s="184" t="str">
        <f t="shared" si="23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24">IF(B236&lt;100,"",B236-620)</f>
        <v/>
      </c>
      <c r="C269" s="184" t="str">
        <f t="shared" si="24"/>
        <v/>
      </c>
      <c r="D269" s="184" t="str">
        <f t="shared" si="24"/>
        <v/>
      </c>
      <c r="E269" s="184" t="str">
        <f t="shared" si="24"/>
        <v/>
      </c>
      <c r="F269" s="184" t="str">
        <f t="shared" si="24"/>
        <v/>
      </c>
      <c r="G269" s="184" t="str">
        <f t="shared" si="24"/>
        <v/>
      </c>
      <c r="H269" s="184" t="str">
        <f t="shared" si="24"/>
        <v/>
      </c>
      <c r="I269" s="184" t="str">
        <f t="shared" si="24"/>
        <v/>
      </c>
      <c r="J269" s="184" t="str">
        <f t="shared" si="24"/>
        <v/>
      </c>
      <c r="K269" s="184" t="str">
        <f t="shared" si="24"/>
        <v/>
      </c>
      <c r="L269" s="184" t="str">
        <f t="shared" si="24"/>
        <v/>
      </c>
      <c r="M269" s="184" t="str">
        <f t="shared" si="24"/>
        <v/>
      </c>
      <c r="N269" s="184" t="str">
        <f t="shared" si="24"/>
        <v/>
      </c>
      <c r="O269" s="184" t="str">
        <f t="shared" si="24"/>
        <v/>
      </c>
      <c r="P269" s="184" t="str">
        <f t="shared" si="24"/>
        <v/>
      </c>
      <c r="Q269" s="184" t="str">
        <f t="shared" si="24"/>
        <v/>
      </c>
      <c r="R269" s="184" t="str">
        <f t="shared" si="24"/>
        <v/>
      </c>
      <c r="S269" s="184" t="str">
        <f t="shared" si="24"/>
        <v/>
      </c>
      <c r="T269" s="184" t="str">
        <f t="shared" si="24"/>
        <v/>
      </c>
      <c r="U269" s="184" t="str">
        <f t="shared" si="24"/>
        <v/>
      </c>
      <c r="V269" s="184" t="str">
        <f t="shared" si="24"/>
        <v/>
      </c>
      <c r="W269" s="184" t="str">
        <f t="shared" si="24"/>
        <v/>
      </c>
      <c r="X269" s="184" t="str">
        <f t="shared" si="24"/>
        <v/>
      </c>
      <c r="Y269" s="184" t="str">
        <f t="shared" si="24"/>
        <v/>
      </c>
      <c r="Z269" s="184" t="str">
        <f t="shared" si="24"/>
        <v/>
      </c>
      <c r="AA269" s="184" t="str">
        <f t="shared" si="24"/>
        <v/>
      </c>
      <c r="AB269" s="184" t="str">
        <f t="shared" si="24"/>
        <v/>
      </c>
      <c r="AC269" s="184" t="str">
        <f t="shared" si="24"/>
        <v/>
      </c>
      <c r="AD269" s="184" t="str">
        <f t="shared" si="24"/>
        <v/>
      </c>
      <c r="AE269" s="184" t="str">
        <f t="shared" si="24"/>
        <v/>
      </c>
      <c r="AF269" s="184" t="str">
        <f t="shared" si="24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25">IF(B237&lt;100,"",B237-330)</f>
        <v/>
      </c>
      <c r="C270" s="184" t="str">
        <f t="shared" si="25"/>
        <v/>
      </c>
      <c r="D270" s="184" t="str">
        <f t="shared" si="25"/>
        <v/>
      </c>
      <c r="E270" s="184" t="str">
        <f t="shared" si="25"/>
        <v/>
      </c>
      <c r="F270" s="184" t="str">
        <f t="shared" si="25"/>
        <v/>
      </c>
      <c r="G270" s="184" t="str">
        <f t="shared" si="25"/>
        <v/>
      </c>
      <c r="H270" s="184" t="str">
        <f t="shared" si="25"/>
        <v/>
      </c>
      <c r="I270" s="184" t="str">
        <f t="shared" si="25"/>
        <v/>
      </c>
      <c r="J270" s="184" t="str">
        <f t="shared" si="25"/>
        <v/>
      </c>
      <c r="K270" s="184" t="str">
        <f t="shared" si="25"/>
        <v/>
      </c>
      <c r="L270" s="184" t="str">
        <f t="shared" si="25"/>
        <v/>
      </c>
      <c r="M270" s="184" t="str">
        <f t="shared" si="25"/>
        <v/>
      </c>
      <c r="N270" s="184" t="str">
        <f t="shared" si="25"/>
        <v/>
      </c>
      <c r="O270" s="184" t="str">
        <f t="shared" si="25"/>
        <v/>
      </c>
      <c r="P270" s="184" t="str">
        <f t="shared" si="25"/>
        <v/>
      </c>
      <c r="Q270" s="184" t="str">
        <f t="shared" si="25"/>
        <v/>
      </c>
      <c r="R270" s="184" t="str">
        <f t="shared" si="25"/>
        <v/>
      </c>
      <c r="S270" s="184" t="str">
        <f t="shared" si="25"/>
        <v/>
      </c>
      <c r="T270" s="184" t="str">
        <f t="shared" si="25"/>
        <v/>
      </c>
      <c r="U270" s="184" t="str">
        <f t="shared" si="25"/>
        <v/>
      </c>
      <c r="V270" s="184" t="str">
        <f t="shared" si="25"/>
        <v/>
      </c>
      <c r="W270" s="184" t="str">
        <f t="shared" si="25"/>
        <v/>
      </c>
      <c r="X270" s="184" t="str">
        <f t="shared" si="25"/>
        <v/>
      </c>
      <c r="Y270" s="184" t="str">
        <f t="shared" si="25"/>
        <v/>
      </c>
      <c r="Z270" s="184" t="str">
        <f t="shared" si="25"/>
        <v/>
      </c>
      <c r="AA270" s="184" t="str">
        <f t="shared" si="25"/>
        <v/>
      </c>
      <c r="AB270" s="184" t="str">
        <f t="shared" si="25"/>
        <v/>
      </c>
      <c r="AC270" s="184" t="str">
        <f t="shared" si="25"/>
        <v/>
      </c>
      <c r="AD270" s="184" t="str">
        <f t="shared" si="25"/>
        <v/>
      </c>
      <c r="AE270" s="184" t="str">
        <f t="shared" si="25"/>
        <v/>
      </c>
      <c r="AF270" s="184" t="str">
        <f t="shared" si="25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26">IF(B238&lt;100,"",B238-1500)</f>
        <v/>
      </c>
      <c r="C271" s="184" t="str">
        <f t="shared" si="26"/>
        <v/>
      </c>
      <c r="D271" s="184" t="str">
        <f t="shared" si="26"/>
        <v/>
      </c>
      <c r="E271" s="184" t="str">
        <f t="shared" si="26"/>
        <v/>
      </c>
      <c r="F271" s="184" t="str">
        <f t="shared" si="26"/>
        <v/>
      </c>
      <c r="G271" s="184" t="str">
        <f t="shared" si="26"/>
        <v/>
      </c>
      <c r="H271" s="184" t="str">
        <f t="shared" si="26"/>
        <v/>
      </c>
      <c r="I271" s="184" t="str">
        <f t="shared" si="26"/>
        <v/>
      </c>
      <c r="J271" s="184" t="str">
        <f t="shared" si="26"/>
        <v/>
      </c>
      <c r="K271" s="184" t="str">
        <f t="shared" si="26"/>
        <v/>
      </c>
      <c r="L271" s="184" t="str">
        <f t="shared" si="26"/>
        <v/>
      </c>
      <c r="M271" s="184" t="str">
        <f t="shared" si="26"/>
        <v/>
      </c>
      <c r="N271" s="184" t="str">
        <f t="shared" si="26"/>
        <v/>
      </c>
      <c r="O271" s="184" t="str">
        <f t="shared" si="26"/>
        <v/>
      </c>
      <c r="P271" s="184" t="str">
        <f t="shared" si="26"/>
        <v/>
      </c>
      <c r="Q271" s="184" t="str">
        <f t="shared" si="26"/>
        <v/>
      </c>
      <c r="R271" s="184" t="str">
        <f t="shared" si="26"/>
        <v/>
      </c>
      <c r="S271" s="184" t="str">
        <f t="shared" si="26"/>
        <v/>
      </c>
      <c r="T271" s="184" t="str">
        <f t="shared" si="26"/>
        <v/>
      </c>
      <c r="U271" s="184" t="str">
        <f t="shared" si="26"/>
        <v/>
      </c>
      <c r="V271" s="184" t="str">
        <f t="shared" si="26"/>
        <v/>
      </c>
      <c r="W271" s="184" t="str">
        <f t="shared" si="26"/>
        <v/>
      </c>
      <c r="X271" s="184" t="str">
        <f t="shared" si="26"/>
        <v/>
      </c>
      <c r="Y271" s="184" t="str">
        <f t="shared" si="26"/>
        <v/>
      </c>
      <c r="Z271" s="184" t="str">
        <f t="shared" si="26"/>
        <v/>
      </c>
      <c r="AA271" s="184" t="str">
        <f t="shared" si="26"/>
        <v/>
      </c>
      <c r="AB271" s="184" t="str">
        <f t="shared" si="26"/>
        <v/>
      </c>
      <c r="AC271" s="184" t="str">
        <f t="shared" si="26"/>
        <v/>
      </c>
      <c r="AD271" s="184" t="str">
        <f t="shared" si="26"/>
        <v/>
      </c>
      <c r="AE271" s="184" t="str">
        <f t="shared" si="26"/>
        <v/>
      </c>
      <c r="AF271" s="184" t="str">
        <f t="shared" si="26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2125" priority="339">
      <formula>B$9&gt;=20/24</formula>
    </cfRule>
    <cfRule type="expression" dxfId="2124" priority="340">
      <formula>AND(B$9&gt;=14/24,B$9&lt;20/24)</formula>
    </cfRule>
    <cfRule type="expression" dxfId="2123" priority="341">
      <formula>AND(B$9&gt;=8/24,B$9&lt;14/24)</formula>
    </cfRule>
    <cfRule type="expression" dxfId="2122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2121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2120" priority="336">
      <formula>$AH12=0</formula>
    </cfRule>
  </conditionalFormatting>
  <conditionalFormatting sqref="A114">
    <cfRule type="expression" dxfId="2119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2118" priority="333">
      <formula>$AH45=0</formula>
    </cfRule>
  </conditionalFormatting>
  <conditionalFormatting sqref="A98">
    <cfRule type="expression" dxfId="2117" priority="332">
      <formula>$AH98=0</formula>
    </cfRule>
  </conditionalFormatting>
  <conditionalFormatting sqref="A18">
    <cfRule type="expression" dxfId="2116" priority="331">
      <formula>$AH18=0</formula>
    </cfRule>
  </conditionalFormatting>
  <conditionalFormatting sqref="A196:A201">
    <cfRule type="expression" dxfId="2115" priority="330">
      <formula>$AH196=0</formula>
    </cfRule>
  </conditionalFormatting>
  <conditionalFormatting sqref="A190:A195">
    <cfRule type="expression" dxfId="2114" priority="329">
      <formula>$AH190=0</formula>
    </cfRule>
  </conditionalFormatting>
  <conditionalFormatting sqref="A58">
    <cfRule type="expression" dxfId="2113" priority="328">
      <formula>$AH58=0</formula>
    </cfRule>
  </conditionalFormatting>
  <conditionalFormatting sqref="A94">
    <cfRule type="expression" dxfId="2112" priority="327">
      <formula>$AH94=0</formula>
    </cfRule>
  </conditionalFormatting>
  <conditionalFormatting sqref="AD99:AF99 E99:X99">
    <cfRule type="expression" dxfId="2111" priority="323">
      <formula>E$9&gt;=20/24</formula>
    </cfRule>
    <cfRule type="expression" dxfId="2110" priority="324">
      <formula>AND(E$9&gt;=14/24,E$9&lt;20/24)</formula>
    </cfRule>
    <cfRule type="expression" dxfId="2109" priority="325">
      <formula>AND(E$9&gt;=8/24,E$9&lt;14/24)</formula>
    </cfRule>
    <cfRule type="expression" dxfId="2108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107" priority="345">
      <formula>C$9&gt;=20/24</formula>
    </cfRule>
    <cfRule type="expression" dxfId="2106" priority="346">
      <formula>AND(C$9&gt;=14/24,C$9&lt;20/24)</formula>
    </cfRule>
    <cfRule type="expression" dxfId="2105" priority="347">
      <formula>AND(C$9&gt;=8/24,C$9&lt;14/24)</formula>
    </cfRule>
    <cfRule type="expression" dxfId="2104" priority="348">
      <formula>C$9&lt;8/24</formula>
    </cfRule>
  </conditionalFormatting>
  <conditionalFormatting sqref="A233">
    <cfRule type="expression" dxfId="2103" priority="349">
      <formula>$AH233=0</formula>
    </cfRule>
  </conditionalFormatting>
  <conditionalFormatting sqref="AG245">
    <cfRule type="expression" dxfId="2102" priority="350">
      <formula>B$9&gt;=20/24</formula>
    </cfRule>
    <cfRule type="expression" dxfId="2101" priority="351">
      <formula>AND(B$9&gt;=14/24,B$9&lt;20/24)</formula>
    </cfRule>
    <cfRule type="expression" dxfId="2100" priority="352">
      <formula>AND(B$9&gt;=8/24,B$9&lt;14/24)</formula>
    </cfRule>
    <cfRule type="expression" dxfId="2099" priority="353">
      <formula>B$9&lt;8/24</formula>
    </cfRule>
  </conditionalFormatting>
  <conditionalFormatting sqref="S8">
    <cfRule type="expression" dxfId="2098" priority="318">
      <formula>U$9&gt;=20/24</formula>
    </cfRule>
    <cfRule type="expression" dxfId="2097" priority="319">
      <formula>AND(U$9&gt;=14/24,U$9&lt;20/24)</formula>
    </cfRule>
    <cfRule type="expression" dxfId="2096" priority="320">
      <formula>AND(U$9&gt;=8/24,U$9&lt;14/24)</formula>
    </cfRule>
    <cfRule type="expression" dxfId="2095" priority="321">
      <formula>U$9&lt;8/24</formula>
    </cfRule>
  </conditionalFormatting>
  <conditionalFormatting sqref="AB8">
    <cfRule type="expression" dxfId="2094" priority="314">
      <formula>AD$9&gt;=20/24</formula>
    </cfRule>
    <cfRule type="expression" dxfId="2093" priority="315">
      <formula>AND(AD$9&gt;=14/24,AD$9&lt;20/24)</formula>
    </cfRule>
    <cfRule type="expression" dxfId="2092" priority="316">
      <formula>AND(AD$9&gt;=8/24,AD$9&lt;14/24)</formula>
    </cfRule>
    <cfRule type="expression" dxfId="2091" priority="317">
      <formula>AD$9&lt;8/24</formula>
    </cfRule>
  </conditionalFormatting>
  <conditionalFormatting sqref="AH245:AX245">
    <cfRule type="expression" dxfId="2090" priority="354">
      <formula>AG$9&gt;=20/24</formula>
    </cfRule>
    <cfRule type="expression" dxfId="2089" priority="355">
      <formula>AND(AG$9&gt;=14/24,AG$9&lt;20/24)</formula>
    </cfRule>
    <cfRule type="expression" dxfId="2088" priority="356">
      <formula>AND(AG$9&gt;=8/24,AG$9&lt;14/24)</formula>
    </cfRule>
    <cfRule type="expression" dxfId="2087" priority="357">
      <formula>AG$9&lt;8/24</formula>
    </cfRule>
  </conditionalFormatting>
  <conditionalFormatting sqref="T245">
    <cfRule type="expression" dxfId="2086" priority="358">
      <formula>AX$9&gt;=20/24</formula>
    </cfRule>
    <cfRule type="expression" dxfId="2085" priority="359">
      <formula>AND(AX$9&gt;=14/24,AX$9&lt;20/24)</formula>
    </cfRule>
    <cfRule type="expression" dxfId="2084" priority="360">
      <formula>AND(AX$9&gt;=8/24,AX$9&lt;14/24)</formula>
    </cfRule>
    <cfRule type="expression" dxfId="2083" priority="361">
      <formula>AX$9&lt;8/24</formula>
    </cfRule>
  </conditionalFormatting>
  <conditionalFormatting sqref="A115:A116">
    <cfRule type="expression" dxfId="2082" priority="313">
      <formula>$AH115=0</formula>
    </cfRule>
  </conditionalFormatting>
  <conditionalFormatting sqref="AF54:AF56 P54:R58 E71:AF71">
    <cfRule type="expression" dxfId="2081" priority="309">
      <formula>E$9&gt;=20/24</formula>
    </cfRule>
    <cfRule type="expression" dxfId="2080" priority="310">
      <formula>AND(E$9&gt;=14/24,E$9&lt;20/24)</formula>
    </cfRule>
    <cfRule type="expression" dxfId="2079" priority="311">
      <formula>AND(E$9&gt;=8/24,E$9&lt;14/24)</formula>
    </cfRule>
    <cfRule type="expression" dxfId="2078" priority="312">
      <formula>E$9&lt;8/24</formula>
    </cfRule>
  </conditionalFormatting>
  <conditionalFormatting sqref="AF53 P53:R53">
    <cfRule type="expression" dxfId="2077" priority="305">
      <formula>P$9&gt;=20/24</formula>
    </cfRule>
    <cfRule type="expression" dxfId="2076" priority="306">
      <formula>AND(P$9&gt;=14/24,P$9&lt;20/24)</formula>
    </cfRule>
    <cfRule type="expression" dxfId="2075" priority="307">
      <formula>AND(P$9&gt;=8/24,P$9&lt;14/24)</formula>
    </cfRule>
    <cfRule type="expression" dxfId="2074" priority="308">
      <formula>P$9&lt;8/24</formula>
    </cfRule>
  </conditionalFormatting>
  <conditionalFormatting sqref="AF53:AF56 P53:R58">
    <cfRule type="expression" dxfId="2073" priority="304">
      <formula>P53&gt;$AG53</formula>
    </cfRule>
  </conditionalFormatting>
  <conditionalFormatting sqref="D86:AF86 X96:AF96 AD100:AF106 X47:AF47 E72:AA73 M100:X106 Z74:AA74 V67:AF69 AB72:AF74">
    <cfRule type="expression" dxfId="2072" priority="300">
      <formula>D$9&gt;=20/24</formula>
    </cfRule>
    <cfRule type="expression" dxfId="2071" priority="301">
      <formula>AND(D$9&gt;=14/24,D$9&lt;20/24)</formula>
    </cfRule>
    <cfRule type="expression" dxfId="2070" priority="302">
      <formula>AND(D$9&gt;=8/24,D$9&lt;14/24)</formula>
    </cfRule>
    <cfRule type="expression" dxfId="2069" priority="303">
      <formula>D$9&lt;8/24</formula>
    </cfRule>
  </conditionalFormatting>
  <conditionalFormatting sqref="X47:AF47 V67:AF69">
    <cfRule type="expression" dxfId="2068" priority="299">
      <formula>V47&gt;$AG47</formula>
    </cfRule>
  </conditionalFormatting>
  <conditionalFormatting sqref="S53:AE58 AF57:AF58">
    <cfRule type="expression" dxfId="2067" priority="295">
      <formula>S$9&gt;=20/24</formula>
    </cfRule>
    <cfRule type="expression" dxfId="2066" priority="296">
      <formula>AND(S$9&gt;=14/24,S$9&lt;20/24)</formula>
    </cfRule>
    <cfRule type="expression" dxfId="2065" priority="297">
      <formula>AND(S$9&gt;=8/24,S$9&lt;14/24)</formula>
    </cfRule>
    <cfRule type="expression" dxfId="2064" priority="298">
      <formula>S$9&lt;8/24</formula>
    </cfRule>
  </conditionalFormatting>
  <conditionalFormatting sqref="S53:AE58 AF57:AF58">
    <cfRule type="expression" dxfId="2063" priority="294">
      <formula>S53&gt;$AG53</formula>
    </cfRule>
  </conditionalFormatting>
  <conditionalFormatting sqref="C97:AF97 D88:AF88">
    <cfRule type="expression" dxfId="2062" priority="290">
      <formula>C$9&gt;=20/24</formula>
    </cfRule>
    <cfRule type="expression" dxfId="2061" priority="291">
      <formula>AND(C$9&gt;=14/24,C$9&lt;20/24)</formula>
    </cfRule>
    <cfRule type="expression" dxfId="2060" priority="292">
      <formula>AND(C$9&gt;=8/24,C$9&lt;14/24)</formula>
    </cfRule>
    <cfRule type="expression" dxfId="2059" priority="293">
      <formula>C$9&lt;8/24</formula>
    </cfRule>
  </conditionalFormatting>
  <conditionalFormatting sqref="T47:W47">
    <cfRule type="expression" dxfId="2058" priority="286">
      <formula>T$9&gt;=20/24</formula>
    </cfRule>
    <cfRule type="expression" dxfId="2057" priority="287">
      <formula>AND(T$9&gt;=14/24,T$9&lt;20/24)</formula>
    </cfRule>
    <cfRule type="expression" dxfId="2056" priority="288">
      <formula>AND(T$9&gt;=8/24,T$9&lt;14/24)</formula>
    </cfRule>
    <cfRule type="expression" dxfId="2055" priority="289">
      <formula>T$9&lt;8/24</formula>
    </cfRule>
  </conditionalFormatting>
  <conditionalFormatting sqref="T47:W47">
    <cfRule type="expression" dxfId="2054" priority="285">
      <formula>T47&gt;$AG47</formula>
    </cfRule>
  </conditionalFormatting>
  <conditionalFormatting sqref="E54:O55">
    <cfRule type="expression" dxfId="2053" priority="281">
      <formula>E$9&gt;=20/24</formula>
    </cfRule>
    <cfRule type="expression" dxfId="2052" priority="282">
      <formula>AND(E$9&gt;=14/24,E$9&lt;20/24)</formula>
    </cfRule>
    <cfRule type="expression" dxfId="2051" priority="283">
      <formula>AND(E$9&gt;=8/24,E$9&lt;14/24)</formula>
    </cfRule>
    <cfRule type="expression" dxfId="2050" priority="284">
      <formula>E$9&lt;8/24</formula>
    </cfRule>
  </conditionalFormatting>
  <conditionalFormatting sqref="E53:O53">
    <cfRule type="expression" dxfId="2049" priority="277">
      <formula>E$9&gt;=20/24</formula>
    </cfRule>
    <cfRule type="expression" dxfId="2048" priority="278">
      <formula>AND(E$9&gt;=14/24,E$9&lt;20/24)</formula>
    </cfRule>
    <cfRule type="expression" dxfId="2047" priority="279">
      <formula>AND(E$9&gt;=8/24,E$9&lt;14/24)</formula>
    </cfRule>
    <cfRule type="expression" dxfId="2046" priority="280">
      <formula>E$9&lt;8/24</formula>
    </cfRule>
  </conditionalFormatting>
  <conditionalFormatting sqref="E53:O55">
    <cfRule type="expression" dxfId="2045" priority="276">
      <formula>E53&gt;$AG53</formula>
    </cfRule>
  </conditionalFormatting>
  <conditionalFormatting sqref="AG70 AG87 E100:L106 Q67:U69">
    <cfRule type="expression" dxfId="2044" priority="272">
      <formula>E$9&gt;=20/24</formula>
    </cfRule>
    <cfRule type="expression" dxfId="2043" priority="273">
      <formula>AND(E$9&gt;=14/24,E$9&lt;20/24)</formula>
    </cfRule>
    <cfRule type="expression" dxfId="2042" priority="274">
      <formula>AND(E$9&gt;=8/24,E$9&lt;14/24)</formula>
    </cfRule>
    <cfRule type="expression" dxfId="2041" priority="275">
      <formula>E$9&lt;8/24</formula>
    </cfRule>
  </conditionalFormatting>
  <conditionalFormatting sqref="AG48 AG66 AG70 Q67:U69">
    <cfRule type="expression" dxfId="2040" priority="271">
      <formula>Q48&gt;$AG48</formula>
    </cfRule>
  </conditionalFormatting>
  <conditionalFormatting sqref="A43">
    <cfRule type="expression" dxfId="2039" priority="265">
      <formula>$AH43=0</formula>
    </cfRule>
  </conditionalFormatting>
  <conditionalFormatting sqref="X91:AF95">
    <cfRule type="expression" dxfId="2038" priority="261">
      <formula>X$9&gt;=20/24</formula>
    </cfRule>
    <cfRule type="expression" dxfId="2037" priority="262">
      <formula>AND(X$9&gt;=14/24,X$9&lt;20/24)</formula>
    </cfRule>
    <cfRule type="expression" dxfId="2036" priority="263">
      <formula>AND(X$9&gt;=8/24,X$9&lt;14/24)</formula>
    </cfRule>
    <cfRule type="expression" dxfId="2035" priority="264">
      <formula>X$9&lt;8/24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2034" priority="257">
      <formula>E$9&gt;=20/24</formula>
    </cfRule>
    <cfRule type="expression" dxfId="2033" priority="258">
      <formula>AND(E$9&gt;=14/24,E$9&lt;20/24)</formula>
    </cfRule>
    <cfRule type="expression" dxfId="2032" priority="259">
      <formula>AND(E$9&gt;=8/24,E$9&lt;14/24)</formula>
    </cfRule>
    <cfRule type="expression" dxfId="2031" priority="260">
      <formula>E$9&lt;8/24</formula>
    </cfRule>
  </conditionalFormatting>
  <conditionalFormatting sqref="E49:AF51">
    <cfRule type="expression" dxfId="2030" priority="256">
      <formula>E49&gt;$AG49</formula>
    </cfRule>
  </conditionalFormatting>
  <conditionalFormatting sqref="AG52">
    <cfRule type="expression" dxfId="2029" priority="252">
      <formula>AG$9&gt;=20/24</formula>
    </cfRule>
    <cfRule type="expression" dxfId="2028" priority="253">
      <formula>AND(AG$9&gt;=14/24,AG$9&lt;20/24)</formula>
    </cfRule>
    <cfRule type="expression" dxfId="2027" priority="254">
      <formula>AND(AG$9&gt;=8/24,AG$9&lt;14/24)</formula>
    </cfRule>
    <cfRule type="expression" dxfId="2026" priority="255">
      <formula>AG$9&lt;8/24</formula>
    </cfRule>
  </conditionalFormatting>
  <conditionalFormatting sqref="AG52">
    <cfRule type="expression" dxfId="2025" priority="251">
      <formula>AG52&gt;$AG52</formula>
    </cfRule>
  </conditionalFormatting>
  <conditionalFormatting sqref="C107:AF107">
    <cfRule type="expression" dxfId="2024" priority="247">
      <formula>C$9&gt;=20/24</formula>
    </cfRule>
    <cfRule type="expression" dxfId="2023" priority="248">
      <formula>AND(C$9&gt;=14/24,C$9&lt;20/24)</formula>
    </cfRule>
    <cfRule type="expression" dxfId="2022" priority="249">
      <formula>AND(C$9&gt;=8/24,C$9&lt;14/24)</formula>
    </cfRule>
    <cfRule type="expression" dxfId="2021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2020" priority="245">
      <formula>$AH40=0</formula>
    </cfRule>
  </conditionalFormatting>
  <conditionalFormatting sqref="A90">
    <cfRule type="expression" dxfId="2019" priority="243">
      <formula>$AH90=0</formula>
    </cfRule>
  </conditionalFormatting>
  <conditionalFormatting sqref="A87">
    <cfRule type="expression" dxfId="2018" priority="244">
      <formula>$AH87=0</formula>
    </cfRule>
  </conditionalFormatting>
  <conditionalFormatting sqref="D110:AF110">
    <cfRule type="expression" dxfId="2017" priority="239">
      <formula>D$9&gt;=20/24</formula>
    </cfRule>
    <cfRule type="expression" dxfId="2016" priority="240">
      <formula>AND(D$9&gt;=14/24,D$9&lt;20/24)</formula>
    </cfRule>
    <cfRule type="expression" dxfId="2015" priority="241">
      <formula>AND(D$9&gt;=8/24,D$9&lt;14/24)</formula>
    </cfRule>
    <cfRule type="expression" dxfId="2014" priority="242">
      <formula>D$9&lt;8/24</formula>
    </cfRule>
  </conditionalFormatting>
  <conditionalFormatting sqref="A110">
    <cfRule type="expression" dxfId="2013" priority="238">
      <formula>$AH110=0</formula>
    </cfRule>
  </conditionalFormatting>
  <conditionalFormatting sqref="A21">
    <cfRule type="expression" dxfId="2012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011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2010" priority="230">
      <formula>Y$9&gt;=20/24</formula>
    </cfRule>
    <cfRule type="expression" dxfId="2009" priority="231">
      <formula>AND(Y$9&gt;=14/24,Y$9&lt;20/24)</formula>
    </cfRule>
    <cfRule type="expression" dxfId="2008" priority="232">
      <formula>AND(Y$9&gt;=8/24,Y$9&lt;14/24)</formula>
    </cfRule>
    <cfRule type="expression" dxfId="2007" priority="233">
      <formula>Y$9&lt;8/24</formula>
    </cfRule>
  </conditionalFormatting>
  <conditionalFormatting sqref="Y100:AC106">
    <cfRule type="expression" dxfId="2006" priority="226">
      <formula>Y$9&gt;=20/24</formula>
    </cfRule>
    <cfRule type="expression" dxfId="2005" priority="227">
      <formula>AND(Y$9&gt;=14/24,Y$9&lt;20/24)</formula>
    </cfRule>
    <cfRule type="expression" dxfId="2004" priority="228">
      <formula>AND(Y$9&gt;=8/24,Y$9&lt;14/24)</formula>
    </cfRule>
    <cfRule type="expression" dxfId="2003" priority="229">
      <formula>Y$9&lt;8/24</formula>
    </cfRule>
  </conditionalFormatting>
  <conditionalFormatting sqref="C109 C111:C116 AD18:AF18 Q20:AF20">
    <cfRule type="expression" dxfId="2002" priority="222">
      <formula>C$9&gt;=20/24</formula>
    </cfRule>
    <cfRule type="expression" dxfId="2001" priority="223">
      <formula>AND(C$9&gt;=14/24,C$9&lt;20/24)</formula>
    </cfRule>
    <cfRule type="expression" dxfId="2000" priority="224">
      <formula>AND(C$9&gt;=8/24,C$9&lt;14/24)</formula>
    </cfRule>
    <cfRule type="expression" dxfId="1999" priority="225">
      <formula>C$9&lt;8/24</formula>
    </cfRule>
  </conditionalFormatting>
  <conditionalFormatting sqref="C47:S47">
    <cfRule type="expression" dxfId="1998" priority="218">
      <formula>C$9&gt;=20/24</formula>
    </cfRule>
    <cfRule type="expression" dxfId="1997" priority="219">
      <formula>AND(C$9&gt;=14/24,C$9&lt;20/24)</formula>
    </cfRule>
    <cfRule type="expression" dxfId="1996" priority="220">
      <formula>AND(C$9&gt;=8/24,C$9&lt;14/24)</formula>
    </cfRule>
    <cfRule type="expression" dxfId="1995" priority="221">
      <formula>C$9&lt;8/24</formula>
    </cfRule>
  </conditionalFormatting>
  <conditionalFormatting sqref="C47:S47 AD18:AF18 Q20:AF20">
    <cfRule type="expression" dxfId="1994" priority="217">
      <formula>C18&gt;$AG18</formula>
    </cfRule>
  </conditionalFormatting>
  <conditionalFormatting sqref="C99:D99">
    <cfRule type="expression" dxfId="1993" priority="213">
      <formula>C$9&gt;=20/24</formula>
    </cfRule>
    <cfRule type="expression" dxfId="1992" priority="214">
      <formula>AND(C$9&gt;=14/24,C$9&lt;20/24)</formula>
    </cfRule>
    <cfRule type="expression" dxfId="1991" priority="215">
      <formula>AND(C$9&gt;=8/24,C$9&lt;14/24)</formula>
    </cfRule>
    <cfRule type="expression" dxfId="1990" priority="216">
      <formula>C$9&lt;8/24</formula>
    </cfRule>
  </conditionalFormatting>
  <conditionalFormatting sqref="C86 C96:W96 C83:AF85 D100:D106 F67:P69 E74:X75 L76:X76 Y74:Y76 Z75:AF76">
    <cfRule type="expression" dxfId="1989" priority="209">
      <formula>C$9&gt;=20/24</formula>
    </cfRule>
    <cfRule type="expression" dxfId="1988" priority="210">
      <formula>AND(C$9&gt;=14/24,C$9&lt;20/24)</formula>
    </cfRule>
    <cfRule type="expression" dxfId="1987" priority="211">
      <formula>AND(C$9&gt;=8/24,C$9&lt;14/24)</formula>
    </cfRule>
    <cfRule type="expression" dxfId="1986" priority="212">
      <formula>C$9&lt;8/24</formula>
    </cfRule>
  </conditionalFormatting>
  <conditionalFormatting sqref="E56:O57 F67:P69">
    <cfRule type="expression" dxfId="1985" priority="208">
      <formula>E56&gt;$AG56</formula>
    </cfRule>
  </conditionalFormatting>
  <conditionalFormatting sqref="E58:O58">
    <cfRule type="expression" dxfId="1984" priority="204">
      <formula>E$9&gt;=20/24</formula>
    </cfRule>
    <cfRule type="expression" dxfId="1983" priority="205">
      <formula>AND(E$9&gt;=14/24,E$9&lt;20/24)</formula>
    </cfRule>
    <cfRule type="expression" dxfId="1982" priority="206">
      <formula>AND(E$9&gt;=8/24,E$9&lt;14/24)</formula>
    </cfRule>
    <cfRule type="expression" dxfId="1981" priority="207">
      <formula>E$9&lt;8/24</formula>
    </cfRule>
  </conditionalFormatting>
  <conditionalFormatting sqref="E58:O58">
    <cfRule type="expression" dxfId="1980" priority="203">
      <formula>E58&gt;$AG58</formula>
    </cfRule>
  </conditionalFormatting>
  <conditionalFormatting sqref="B71:D71 B54:D57">
    <cfRule type="expression" dxfId="1979" priority="132">
      <formula>B$9&gt;=20/24</formula>
    </cfRule>
    <cfRule type="expression" dxfId="1978" priority="133">
      <formula>AND(B$9&gt;=14/24,B$9&lt;20/24)</formula>
    </cfRule>
    <cfRule type="expression" dxfId="1977" priority="134">
      <formula>AND(B$9&gt;=8/24,B$9&lt;14/24)</formula>
    </cfRule>
    <cfRule type="expression" dxfId="1976" priority="135">
      <formula>B$9&lt;8/24</formula>
    </cfRule>
  </conditionalFormatting>
  <conditionalFormatting sqref="C87:AF87 C89:AF89 C98:AF98 C70:AF70">
    <cfRule type="expression" dxfId="1975" priority="199">
      <formula>C$9&gt;=20/24</formula>
    </cfRule>
    <cfRule type="expression" dxfId="1974" priority="200">
      <formula>AND(C$9&gt;=14/24,C$9&lt;20/24)</formula>
    </cfRule>
    <cfRule type="expression" dxfId="1973" priority="201">
      <formula>AND(C$9&gt;=8/24,C$9&lt;14/24)</formula>
    </cfRule>
    <cfRule type="expression" dxfId="1972" priority="202">
      <formula>C$9&lt;8/24</formula>
    </cfRule>
  </conditionalFormatting>
  <conditionalFormatting sqref="C70:AF70 C65:AF66">
    <cfRule type="expression" dxfId="1971" priority="198">
      <formula>C65&gt;$AG65</formula>
    </cfRule>
  </conditionalFormatting>
  <conditionalFormatting sqref="C82:AF82">
    <cfRule type="expression" dxfId="1970" priority="194">
      <formula>C$9&gt;=20/24</formula>
    </cfRule>
    <cfRule type="expression" dxfId="1969" priority="195">
      <formula>AND(C$9&gt;=14/24,C$9&lt;20/24)</formula>
    </cfRule>
    <cfRule type="expression" dxfId="1968" priority="196">
      <formula>AND(C$9&gt;=8/24,C$9&lt;14/24)</formula>
    </cfRule>
    <cfRule type="expression" dxfId="1967" priority="197">
      <formula>C$9&lt;8/24</formula>
    </cfRule>
  </conditionalFormatting>
  <conditionalFormatting sqref="C91:W95">
    <cfRule type="expression" dxfId="1966" priority="190">
      <formula>C$9&gt;=20/24</formula>
    </cfRule>
    <cfRule type="expression" dxfId="1965" priority="191">
      <formula>AND(C$9&gt;=14/24,C$9&lt;20/24)</formula>
    </cfRule>
    <cfRule type="expression" dxfId="1964" priority="192">
      <formula>AND(C$9&gt;=8/24,C$9&lt;14/24)</formula>
    </cfRule>
    <cfRule type="expression" dxfId="1963" priority="193">
      <formula>C$9&lt;8/24</formula>
    </cfRule>
  </conditionalFormatting>
  <conditionalFormatting sqref="C52:AF52">
    <cfRule type="expression" dxfId="1962" priority="186">
      <formula>C$9&gt;=20/24</formula>
    </cfRule>
    <cfRule type="expression" dxfId="1961" priority="187">
      <formula>AND(C$9&gt;=14/24,C$9&lt;20/24)</formula>
    </cfRule>
    <cfRule type="expression" dxfId="1960" priority="188">
      <formula>AND(C$9&gt;=8/24,C$9&lt;14/24)</formula>
    </cfRule>
    <cfRule type="expression" dxfId="1959" priority="189">
      <formula>C$9&lt;8/24</formula>
    </cfRule>
  </conditionalFormatting>
  <conditionalFormatting sqref="C52:AF52">
    <cfRule type="expression" dxfId="1958" priority="185">
      <formula>C52&gt;$AG52</formula>
    </cfRule>
  </conditionalFormatting>
  <conditionalFormatting sqref="B49:D51">
    <cfRule type="expression" dxfId="1957" priority="100">
      <formula>B$9&gt;=20/24</formula>
    </cfRule>
    <cfRule type="expression" dxfId="1956" priority="101">
      <formula>AND(B$9&gt;=14/24,B$9&lt;20/24)</formula>
    </cfRule>
    <cfRule type="expression" dxfId="1955" priority="102">
      <formula>AND(B$9&gt;=8/24,B$9&lt;14/24)</formula>
    </cfRule>
    <cfRule type="expression" dxfId="1954" priority="103">
      <formula>B$9&lt;8/24</formula>
    </cfRule>
  </conditionalFormatting>
  <conditionalFormatting sqref="C110">
    <cfRule type="expression" dxfId="1953" priority="177">
      <formula>C$9&gt;=20/24</formula>
    </cfRule>
    <cfRule type="expression" dxfId="1952" priority="178">
      <formula>AND(C$9&gt;=14/24,C$9&lt;20/24)</formula>
    </cfRule>
    <cfRule type="expression" dxfId="1951" priority="179">
      <formula>AND(C$9&gt;=8/24,C$9&lt;14/24)</formula>
    </cfRule>
    <cfRule type="expression" dxfId="1950" priority="180">
      <formula>C$9&lt;8/24</formula>
    </cfRule>
  </conditionalFormatting>
  <conditionalFormatting sqref="P59:AF64">
    <cfRule type="expression" dxfId="1949" priority="173">
      <formula>P$9&gt;=20/24</formula>
    </cfRule>
    <cfRule type="expression" dxfId="1948" priority="174">
      <formula>AND(P$9&gt;=14/24,P$9&lt;20/24)</formula>
    </cfRule>
    <cfRule type="expression" dxfId="1947" priority="175">
      <formula>AND(P$9&gt;=8/24,P$9&lt;14/24)</formula>
    </cfRule>
    <cfRule type="expression" dxfId="1946" priority="176">
      <formula>P$9&lt;8/24</formula>
    </cfRule>
  </conditionalFormatting>
  <conditionalFormatting sqref="P59:AF64">
    <cfRule type="expression" dxfId="1945" priority="172">
      <formula>P59&gt;$AG59</formula>
    </cfRule>
  </conditionalFormatting>
  <conditionalFormatting sqref="AC15 Q13:AC14 AD13:AF15">
    <cfRule type="expression" dxfId="1944" priority="171">
      <formula>Q13&gt;$AG13</formula>
    </cfRule>
  </conditionalFormatting>
  <conditionalFormatting sqref="Q12:AF12">
    <cfRule type="expression" dxfId="1943" priority="167">
      <formula>Q$9&gt;=20/24</formula>
    </cfRule>
    <cfRule type="expression" dxfId="1942" priority="168">
      <formula>AND(Q$9&gt;=14/24,Q$9&lt;20/24)</formula>
    </cfRule>
    <cfRule type="expression" dxfId="1941" priority="169">
      <formula>AND(Q$9&gt;=8/24,Q$9&lt;14/24)</formula>
    </cfRule>
    <cfRule type="expression" dxfId="1940" priority="170">
      <formula>Q$9&lt;8/24</formula>
    </cfRule>
  </conditionalFormatting>
  <conditionalFormatting sqref="Q12:AF12">
    <cfRule type="expression" dxfId="1939" priority="166">
      <formula>Q12&gt;$AG12</formula>
    </cfRule>
  </conditionalFormatting>
  <conditionalFormatting sqref="AC15 Q13:AC14 AD13:AF15">
    <cfRule type="expression" dxfId="1938" priority="162">
      <formula>Q$9&gt;=20/24</formula>
    </cfRule>
    <cfRule type="expression" dxfId="1937" priority="163">
      <formula>AND(Q$9&gt;=14/24,Q$9&lt;20/24)</formula>
    </cfRule>
    <cfRule type="expression" dxfId="1936" priority="164">
      <formula>AND(Q$9&gt;=8/24,Q$9&lt;14/24)</formula>
    </cfRule>
    <cfRule type="expression" dxfId="1935" priority="165">
      <formula>Q$9&lt;8/24</formula>
    </cfRule>
  </conditionalFormatting>
  <conditionalFormatting sqref="E77:L78 E80:L81 F79:L79 M77:AF81">
    <cfRule type="expression" dxfId="1934" priority="154">
      <formula>E$9&gt;=20/24</formula>
    </cfRule>
    <cfRule type="expression" dxfId="1933" priority="155">
      <formula>AND(E$9&gt;=14/24,E$9&lt;20/24)</formula>
    </cfRule>
    <cfRule type="expression" dxfId="1932" priority="156">
      <formula>AND(E$9&gt;=8/24,E$9&lt;14/24)</formula>
    </cfRule>
    <cfRule type="expression" dxfId="1931" priority="157">
      <formula>E$9&lt;8/24</formula>
    </cfRule>
  </conditionalFormatting>
  <conditionalFormatting sqref="AL78:AN78 AL84:AN84 AN79:AN80">
    <cfRule type="expression" dxfId="1930" priority="150">
      <formula>AL$9&gt;=20/24</formula>
    </cfRule>
    <cfRule type="expression" dxfId="1929" priority="151">
      <formula>AND(AL$9&gt;=14/24,AL$9&lt;20/24)</formula>
    </cfRule>
    <cfRule type="expression" dxfId="1928" priority="152">
      <formula>AND(AL$9&gt;=8/24,AL$9&lt;14/24)</formula>
    </cfRule>
    <cfRule type="expression" dxfId="1927" priority="153">
      <formula>AL$9&lt;8/24</formula>
    </cfRule>
  </conditionalFormatting>
  <conditionalFormatting sqref="AN81:AN82">
    <cfRule type="expression" dxfId="1926" priority="146">
      <formula>AN$9&gt;=20/24</formula>
    </cfRule>
    <cfRule type="expression" dxfId="1925" priority="147">
      <formula>AND(AN$9&gt;=14/24,AN$9&lt;20/24)</formula>
    </cfRule>
    <cfRule type="expression" dxfId="1924" priority="148">
      <formula>AND(AN$9&gt;=8/24,AN$9&lt;14/24)</formula>
    </cfRule>
    <cfRule type="expression" dxfId="1923" priority="149">
      <formula>AN$9&lt;8/24</formula>
    </cfRule>
  </conditionalFormatting>
  <conditionalFormatting sqref="AL79:AM83">
    <cfRule type="expression" dxfId="1922" priority="363">
      <formula>AJ$9&gt;=20/24</formula>
    </cfRule>
    <cfRule type="expression" dxfId="1921" priority="364">
      <formula>AND(AJ$9&gt;=14/24,AJ$9&lt;20/24)</formula>
    </cfRule>
    <cfRule type="expression" dxfId="1920" priority="365">
      <formula>AND(AJ$9&gt;=8/24,AJ$9&lt;14/24)</formula>
    </cfRule>
    <cfRule type="expression" dxfId="1919" priority="366">
      <formula>AJ$9&lt;8/24</formula>
    </cfRule>
  </conditionalFormatting>
  <conditionalFormatting sqref="A117">
    <cfRule type="expression" dxfId="1918" priority="145">
      <formula>$AH117=0</formula>
    </cfRule>
  </conditionalFormatting>
  <conditionalFormatting sqref="B109 B111:B116 B12:P14 Q21:S23 B24:S32 B20:P23 B15:AB15 B17:AC19 AD17:AF17 AD19:AF19 B34:AF43 B45:AF45 T21:AF32">
    <cfRule type="expression" dxfId="1917" priority="141">
      <formula>B$9&gt;=20/24</formula>
    </cfRule>
    <cfRule type="expression" dxfId="1916" priority="142">
      <formula>AND(B$9&gt;=14/24,B$9&lt;20/24)</formula>
    </cfRule>
    <cfRule type="expression" dxfId="1915" priority="143">
      <formula>AND(B$9&gt;=8/24,B$9&lt;14/24)</formula>
    </cfRule>
    <cfRule type="expression" dxfId="1914" priority="144">
      <formula>B$9&lt;8/24</formula>
    </cfRule>
  </conditionalFormatting>
  <conditionalFormatting sqref="B12:P14 Q21:S23 B24:S32 B20:P23 B15:AB15 B17:AC19 AD17:AF17 AD19:AF19 B34:AF43 B45:AF45 T21:AF32">
    <cfRule type="expression" dxfId="1913" priority="140">
      <formula>B12&gt;$AG12</formula>
    </cfRule>
  </conditionalFormatting>
  <conditionalFormatting sqref="B99">
    <cfRule type="expression" dxfId="1912" priority="136">
      <formula>B$9&gt;=20/24</formula>
    </cfRule>
    <cfRule type="expression" dxfId="1911" priority="137">
      <formula>AND(B$9&gt;=14/24,B$9&lt;20/24)</formula>
    </cfRule>
    <cfRule type="expression" dxfId="1910" priority="138">
      <formula>AND(B$9&gt;=8/24,B$9&lt;14/24)</formula>
    </cfRule>
    <cfRule type="expression" dxfId="1909" priority="139">
      <formula>B$9&lt;8/24</formula>
    </cfRule>
  </conditionalFormatting>
  <conditionalFormatting sqref="B53:D53">
    <cfRule type="expression" dxfId="1908" priority="128">
      <formula>B$9&gt;=20/24</formula>
    </cfRule>
    <cfRule type="expression" dxfId="1907" priority="129">
      <formula>AND(B$9&gt;=14/24,B$9&lt;20/24)</formula>
    </cfRule>
    <cfRule type="expression" dxfId="1906" priority="130">
      <formula>AND(B$9&gt;=8/24,B$9&lt;14/24)</formula>
    </cfRule>
    <cfRule type="expression" dxfId="1905" priority="131">
      <formula>B$9&lt;8/24</formula>
    </cfRule>
  </conditionalFormatting>
  <conditionalFormatting sqref="B53:D57">
    <cfRule type="expression" dxfId="1904" priority="127">
      <formula>B53&gt;$AG53</formula>
    </cfRule>
  </conditionalFormatting>
  <conditionalFormatting sqref="B96 B86 B47 B72:D74 B100:C106 B67:E69">
    <cfRule type="expression" dxfId="1903" priority="123">
      <formula>B$9&gt;=20/24</formula>
    </cfRule>
    <cfRule type="expression" dxfId="1902" priority="124">
      <formula>AND(B$9&gt;=14/24,B$9&lt;20/24)</formula>
    </cfRule>
    <cfRule type="expression" dxfId="1901" priority="125">
      <formula>AND(B$9&gt;=8/24,B$9&lt;14/24)</formula>
    </cfRule>
    <cfRule type="expression" dxfId="1900" priority="126">
      <formula>B$9&lt;8/24</formula>
    </cfRule>
  </conditionalFormatting>
  <conditionalFormatting sqref="B47 B67:E69">
    <cfRule type="expression" dxfId="1899" priority="122">
      <formula>B47&gt;$AG47</formula>
    </cfRule>
  </conditionalFormatting>
  <conditionalFormatting sqref="B97 B88:C88">
    <cfRule type="expression" dxfId="1898" priority="118">
      <formula>B$9&gt;=20/24</formula>
    </cfRule>
    <cfRule type="expression" dxfId="1897" priority="119">
      <formula>AND(B$9&gt;=14/24,B$9&lt;20/24)</formula>
    </cfRule>
    <cfRule type="expression" dxfId="1896" priority="120">
      <formula>AND(B$9&gt;=8/24,B$9&lt;14/24)</formula>
    </cfRule>
    <cfRule type="expression" dxfId="1895" priority="121">
      <formula>B$9&lt;8/24</formula>
    </cfRule>
  </conditionalFormatting>
  <conditionalFormatting sqref="B46:AF46">
    <cfRule type="expression" dxfId="1894" priority="114">
      <formula>B$9&gt;=20/24</formula>
    </cfRule>
    <cfRule type="expression" dxfId="1893" priority="115">
      <formula>AND(B$9&gt;=14/24,B$9&lt;20/24)</formula>
    </cfRule>
    <cfRule type="expression" dxfId="1892" priority="116">
      <formula>AND(B$9&gt;=8/24,B$9&lt;14/24)</formula>
    </cfRule>
    <cfRule type="expression" dxfId="1891" priority="117">
      <formula>B$9&lt;8/24</formula>
    </cfRule>
  </conditionalFormatting>
  <conditionalFormatting sqref="B46:AF46">
    <cfRule type="expression" dxfId="1890" priority="113">
      <formula>B46&gt;$AG46</formula>
    </cfRule>
  </conditionalFormatting>
  <conditionalFormatting sqref="B58:D58">
    <cfRule type="expression" dxfId="1889" priority="109">
      <formula>B$9&gt;=20/24</formula>
    </cfRule>
    <cfRule type="expression" dxfId="1888" priority="110">
      <formula>AND(B$9&gt;=14/24,B$9&lt;20/24)</formula>
    </cfRule>
    <cfRule type="expression" dxfId="1887" priority="111">
      <formula>AND(B$9&gt;=8/24,B$9&lt;14/24)</formula>
    </cfRule>
    <cfRule type="expression" dxfId="1886" priority="112">
      <formula>B$9&lt;8/24</formula>
    </cfRule>
  </conditionalFormatting>
  <conditionalFormatting sqref="B58:D58">
    <cfRule type="expression" dxfId="1885" priority="108">
      <formula>B58&gt;$AG58</formula>
    </cfRule>
  </conditionalFormatting>
  <conditionalFormatting sqref="B91:B95">
    <cfRule type="expression" dxfId="1884" priority="104">
      <formula>B$9&gt;=20/24</formula>
    </cfRule>
    <cfRule type="expression" dxfId="1883" priority="105">
      <formula>AND(B$9&gt;=14/24,B$9&lt;20/24)</formula>
    </cfRule>
    <cfRule type="expression" dxfId="1882" priority="106">
      <formula>AND(B$9&gt;=8/24,B$9&lt;14/24)</formula>
    </cfRule>
    <cfRule type="expression" dxfId="1881" priority="107">
      <formula>B$9&lt;8/24</formula>
    </cfRule>
  </conditionalFormatting>
  <conditionalFormatting sqref="B49:D51">
    <cfRule type="expression" dxfId="1880" priority="99">
      <formula>B49&gt;$AG49</formula>
    </cfRule>
  </conditionalFormatting>
  <conditionalFormatting sqref="B107">
    <cfRule type="expression" dxfId="1879" priority="95">
      <formula>B$9&gt;=20/24</formula>
    </cfRule>
    <cfRule type="expression" dxfId="1878" priority="96">
      <formula>AND(B$9&gt;=14/24,B$9&lt;20/24)</formula>
    </cfRule>
    <cfRule type="expression" dxfId="1877" priority="97">
      <formula>AND(B$9&gt;=8/24,B$9&lt;14/24)</formula>
    </cfRule>
    <cfRule type="expression" dxfId="1876" priority="98">
      <formula>B$9&lt;8/24</formula>
    </cfRule>
  </conditionalFormatting>
  <conditionalFormatting sqref="B110">
    <cfRule type="expression" dxfId="1875" priority="91">
      <formula>B$9&gt;=20/24</formula>
    </cfRule>
    <cfRule type="expression" dxfId="1874" priority="92">
      <formula>AND(B$9&gt;=14/24,B$9&lt;20/24)</formula>
    </cfRule>
    <cfRule type="expression" dxfId="1873" priority="93">
      <formula>AND(B$9&gt;=8/24,B$9&lt;14/24)</formula>
    </cfRule>
    <cfRule type="expression" dxfId="1872" priority="94">
      <formula>B$9&lt;8/24</formula>
    </cfRule>
  </conditionalFormatting>
  <conditionalFormatting sqref="B83:B85 B75:D75 B76:K76">
    <cfRule type="expression" dxfId="1871" priority="87">
      <formula>B$9&gt;=20/24</formula>
    </cfRule>
    <cfRule type="expression" dxfId="1870" priority="88">
      <formula>AND(B$9&gt;=14/24,B$9&lt;20/24)</formula>
    </cfRule>
    <cfRule type="expression" dxfId="1869" priority="89">
      <formula>AND(B$9&gt;=8/24,B$9&lt;14/24)</formula>
    </cfRule>
    <cfRule type="expression" dxfId="1868" priority="90">
      <formula>B$9&lt;8/24</formula>
    </cfRule>
  </conditionalFormatting>
  <conditionalFormatting sqref="B89 B98 B70 B87">
    <cfRule type="expression" dxfId="1867" priority="83">
      <formula>B$9&gt;=20/24</formula>
    </cfRule>
    <cfRule type="expression" dxfId="1866" priority="84">
      <formula>AND(B$9&gt;=14/24,B$9&lt;20/24)</formula>
    </cfRule>
    <cfRule type="expression" dxfId="1865" priority="85">
      <formula>AND(B$9&gt;=8/24,B$9&lt;14/24)</formula>
    </cfRule>
    <cfRule type="expression" dxfId="1864" priority="86">
      <formula>B$9&lt;8/24</formula>
    </cfRule>
  </conditionalFormatting>
  <conditionalFormatting sqref="B65:B66 B70 B48:AF48">
    <cfRule type="expression" dxfId="1863" priority="82">
      <formula>B48&gt;$AG48</formula>
    </cfRule>
  </conditionalFormatting>
  <conditionalFormatting sqref="B82">
    <cfRule type="expression" dxfId="1862" priority="78">
      <formula>B$9&gt;=20/24</formula>
    </cfRule>
    <cfRule type="expression" dxfId="1861" priority="79">
      <formula>AND(B$9&gt;=14/24,B$9&lt;20/24)</formula>
    </cfRule>
    <cfRule type="expression" dxfId="1860" priority="80">
      <formula>AND(B$9&gt;=8/24,B$9&lt;14/24)</formula>
    </cfRule>
    <cfRule type="expression" dxfId="1859" priority="81">
      <formula>B$9&lt;8/24</formula>
    </cfRule>
  </conditionalFormatting>
  <conditionalFormatting sqref="B52">
    <cfRule type="expression" dxfId="1858" priority="74">
      <formula>B$9&gt;=20/24</formula>
    </cfRule>
    <cfRule type="expression" dxfId="1857" priority="75">
      <formula>AND(B$9&gt;=14/24,B$9&lt;20/24)</formula>
    </cfRule>
    <cfRule type="expression" dxfId="1856" priority="76">
      <formula>AND(B$9&gt;=8/24,B$9&lt;14/24)</formula>
    </cfRule>
    <cfRule type="expression" dxfId="1855" priority="77">
      <formula>B$9&lt;8/24</formula>
    </cfRule>
  </conditionalFormatting>
  <conditionalFormatting sqref="B52">
    <cfRule type="expression" dxfId="1854" priority="73">
      <formula>B52&gt;$AG52</formula>
    </cfRule>
  </conditionalFormatting>
  <conditionalFormatting sqref="B59:O64">
    <cfRule type="expression" dxfId="1853" priority="65">
      <formula>B$9&gt;=20/24</formula>
    </cfRule>
    <cfRule type="expression" dxfId="1852" priority="66">
      <formula>AND(B$9&gt;=14/24,B$9&lt;20/24)</formula>
    </cfRule>
    <cfRule type="expression" dxfId="1851" priority="67">
      <formula>AND(B$9&gt;=8/24,B$9&lt;14/24)</formula>
    </cfRule>
    <cfRule type="expression" dxfId="1850" priority="68">
      <formula>B$9&lt;8/24</formula>
    </cfRule>
  </conditionalFormatting>
  <conditionalFormatting sqref="B59:O64">
    <cfRule type="expression" dxfId="1849" priority="64">
      <formula>B59&gt;$AG59</formula>
    </cfRule>
  </conditionalFormatting>
  <conditionalFormatting sqref="E79 B77:D81">
    <cfRule type="expression" dxfId="1848" priority="60">
      <formula>B$9&gt;=20/24</formula>
    </cfRule>
    <cfRule type="expression" dxfId="1847" priority="61">
      <formula>AND(B$9&gt;=14/24,B$9&lt;20/24)</formula>
    </cfRule>
    <cfRule type="expression" dxfId="1846" priority="62">
      <formula>AND(B$9&gt;=8/24,B$9&lt;14/24)</formula>
    </cfRule>
    <cfRule type="expression" dxfId="1845" priority="63">
      <formula>B$9&lt;8/24</formula>
    </cfRule>
  </conditionalFormatting>
  <conditionalFormatting sqref="A11">
    <cfRule type="expression" dxfId="1844" priority="59">
      <formula>$AH11=0</formula>
    </cfRule>
  </conditionalFormatting>
  <conditionalFormatting sqref="B11:AF11">
    <cfRule type="expression" dxfId="1843" priority="50">
      <formula>B$9&gt;=20/24</formula>
    </cfRule>
    <cfRule type="expression" dxfId="1842" priority="51">
      <formula>AND(B$9&gt;=14/24,B$9&lt;20/24)</formula>
    </cfRule>
    <cfRule type="expression" dxfId="1841" priority="52">
      <formula>AND(B$9&gt;=8/24,B$9&lt;14/24)</formula>
    </cfRule>
    <cfRule type="expression" dxfId="1840" priority="53">
      <formula>B$9&lt;8/24</formula>
    </cfRule>
  </conditionalFormatting>
  <conditionalFormatting sqref="B11:AF11">
    <cfRule type="expression" dxfId="1839" priority="49">
      <formula>B11&gt;$AG11</formula>
    </cfRule>
  </conditionalFormatting>
  <conditionalFormatting sqref="A16">
    <cfRule type="expression" dxfId="1838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Q16:AF16">
    <cfRule type="expression" dxfId="1837" priority="43">
      <formula>Q$9&gt;=20/24</formula>
    </cfRule>
    <cfRule type="expression" dxfId="1836" priority="44">
      <formula>AND(Q$9&gt;=14/24,Q$9&lt;20/24)</formula>
    </cfRule>
    <cfRule type="expression" dxfId="1835" priority="45">
      <formula>AND(Q$9&gt;=8/24,Q$9&lt;14/24)</formula>
    </cfRule>
    <cfRule type="expression" dxfId="1834" priority="46">
      <formula>Q$9&lt;8/24</formula>
    </cfRule>
  </conditionalFormatting>
  <conditionalFormatting sqref="Q16:AF16">
    <cfRule type="expression" dxfId="1833" priority="42">
      <formula>Q16&gt;$AG16</formula>
    </cfRule>
  </conditionalFormatting>
  <conditionalFormatting sqref="B16:P16">
    <cfRule type="expression" dxfId="1832" priority="38">
      <formula>B$9&gt;=20/24</formula>
    </cfRule>
    <cfRule type="expression" dxfId="1831" priority="39">
      <formula>AND(B$9&gt;=14/24,B$9&lt;20/24)</formula>
    </cfRule>
    <cfRule type="expression" dxfId="1830" priority="40">
      <formula>AND(B$9&gt;=8/24,B$9&lt;14/24)</formula>
    </cfRule>
    <cfRule type="expression" dxfId="1829" priority="41">
      <formula>B$9&lt;8/24</formula>
    </cfRule>
  </conditionalFormatting>
  <conditionalFormatting sqref="B16:P16">
    <cfRule type="expression" dxfId="1828" priority="37">
      <formula>B16&gt;$AG16</formula>
    </cfRule>
  </conditionalFormatting>
  <conditionalFormatting sqref="A33">
    <cfRule type="expression" dxfId="1827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B33:AF33">
    <cfRule type="expression" dxfId="1826" priority="26">
      <formula>B$9&gt;=20/24</formula>
    </cfRule>
    <cfRule type="expression" dxfId="1825" priority="27">
      <formula>AND(B$9&gt;=14/24,B$9&lt;20/24)</formula>
    </cfRule>
    <cfRule type="expression" dxfId="1824" priority="28">
      <formula>AND(B$9&gt;=8/24,B$9&lt;14/24)</formula>
    </cfRule>
    <cfRule type="expression" dxfId="1823" priority="29">
      <formula>B$9&lt;8/24</formula>
    </cfRule>
  </conditionalFormatting>
  <conditionalFormatting sqref="B33:AF33">
    <cfRule type="expression" dxfId="1822" priority="25">
      <formula>B33&gt;$AG33</formula>
    </cfRule>
  </conditionalFormatting>
  <conditionalFormatting sqref="A44">
    <cfRule type="expression" dxfId="1821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B44:AF44">
    <cfRule type="expression" dxfId="1820" priority="14">
      <formula>B$9&gt;=20/24</formula>
    </cfRule>
    <cfRule type="expression" dxfId="1819" priority="15">
      <formula>AND(B$9&gt;=14/24,B$9&lt;20/24)</formula>
    </cfRule>
    <cfRule type="expression" dxfId="1818" priority="16">
      <formula>AND(B$9&gt;=8/24,B$9&lt;14/24)</formula>
    </cfRule>
    <cfRule type="expression" dxfId="1817" priority="17">
      <formula>B$9&lt;8/24</formula>
    </cfRule>
  </conditionalFormatting>
  <conditionalFormatting sqref="B44:AF44">
    <cfRule type="expression" dxfId="1816" priority="13">
      <formula>B44&gt;$AG44</formula>
    </cfRule>
  </conditionalFormatting>
  <conditionalFormatting sqref="B117">
    <cfRule type="expression" dxfId="1815" priority="1">
      <formula>B$9&gt;=20/24</formula>
    </cfRule>
    <cfRule type="expression" dxfId="1814" priority="2">
      <formula>AND(B$9&gt;=14/24,B$9&lt;20/24)</formula>
    </cfRule>
    <cfRule type="expression" dxfId="1813" priority="3">
      <formula>AND(B$9&gt;=8/24,B$9&lt;14/24)</formula>
    </cfRule>
    <cfRule type="expression" dxfId="1812" priority="4">
      <formula>B$9&lt;8/24</formula>
    </cfRule>
  </conditionalFormatting>
  <conditionalFormatting sqref="D117:AF117">
    <cfRule type="expression" dxfId="1811" priority="9">
      <formula>D$9&gt;=20/24</formula>
    </cfRule>
    <cfRule type="expression" dxfId="1810" priority="10">
      <formula>AND(D$9&gt;=14/24,D$9&lt;20/24)</formula>
    </cfRule>
    <cfRule type="expression" dxfId="1809" priority="11">
      <formula>AND(D$9&gt;=8/24,D$9&lt;14/24)</formula>
    </cfRule>
    <cfRule type="expression" dxfId="1808" priority="12">
      <formula>D$9&lt;8/24</formula>
    </cfRule>
  </conditionalFormatting>
  <conditionalFormatting sqref="C117">
    <cfRule type="expression" dxfId="1807" priority="5">
      <formula>C$9&gt;=20/24</formula>
    </cfRule>
    <cfRule type="expression" dxfId="1806" priority="6">
      <formula>AND(C$9&gt;=14/24,C$9&lt;20/24)</formula>
    </cfRule>
    <cfRule type="expression" dxfId="1805" priority="7">
      <formula>AND(C$9&gt;=8/24,C$9&lt;14/24)</formula>
    </cfRule>
    <cfRule type="expression" dxfId="1804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413108BC-2A1D-4B3D-B834-05309F6CE3E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463F2D2D-83A8-46B1-B903-E1FD644204F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B0802A00-E219-4A58-9B20-72A39CD882C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3836A6EB-34C5-4565-996A-FD4A75D8AE1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7F59F6FA-C5C5-4DA6-B063-068B6E1095A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28BD3331-C019-42A7-96BA-5C5DCD56721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3C4ED062-9A18-425F-99B2-0835D48C20A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A8D61DAF-A894-458B-AAAF-845A4962909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="106" zoomScaleNormal="106" workbookViewId="0">
      <pane ySplit="10" topLeftCell="A11" activePane="bottomLeft" state="frozen"/>
      <selection activeCell="Z85" sqref="Z85"/>
      <selection pane="bottomLeft" activeCell="M56" sqref="M56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5" width="6.85546875" style="2" customWidth="1"/>
    <col min="26" max="26" width="8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2079/12/24</v>
      </c>
      <c r="C4" s="236"/>
      <c r="D4" s="236"/>
      <c r="E4" s="237" t="str">
        <f ca="1">"2079/"&amp;"12/"&amp;INT(MID(CELL("filename",G6),FIND("]",CELL("filename",G6))+1,200))</f>
        <v>2079/12/24</v>
      </c>
      <c r="F4" s="237"/>
      <c r="G4" s="237"/>
      <c r="H4" s="237" t="str">
        <f ca="1">TEXT(E4,"dddd")</f>
        <v>Sunday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489.4</v>
      </c>
      <c r="C5" s="33">
        <f t="shared" si="0"/>
        <v>475.2</v>
      </c>
      <c r="D5" s="33">
        <f t="shared" si="0"/>
        <v>536</v>
      </c>
      <c r="E5" s="33">
        <f t="shared" si="0"/>
        <v>530.9</v>
      </c>
      <c r="F5" s="33">
        <f t="shared" si="0"/>
        <v>523.09999999999991</v>
      </c>
      <c r="G5" s="33">
        <f t="shared" si="0"/>
        <v>535.1</v>
      </c>
      <c r="H5" s="33">
        <f t="shared" si="0"/>
        <v>513.9</v>
      </c>
      <c r="I5" s="33">
        <f t="shared" si="0"/>
        <v>554.79999999999995</v>
      </c>
      <c r="J5" s="33">
        <f t="shared" si="0"/>
        <v>519.4</v>
      </c>
      <c r="K5" s="33">
        <f t="shared" si="0"/>
        <v>518.4</v>
      </c>
      <c r="L5" s="33">
        <f t="shared" si="0"/>
        <v>538.79999999999995</v>
      </c>
      <c r="M5" s="33">
        <f t="shared" si="0"/>
        <v>549</v>
      </c>
      <c r="N5" s="33">
        <f t="shared" si="0"/>
        <v>574.1</v>
      </c>
      <c r="O5" s="33">
        <f t="shared" si="0"/>
        <v>563.09999999999991</v>
      </c>
      <c r="P5" s="33">
        <f t="shared" si="0"/>
        <v>575.1</v>
      </c>
      <c r="Q5" s="33">
        <f t="shared" si="0"/>
        <v>563</v>
      </c>
      <c r="R5" s="33">
        <f t="shared" si="0"/>
        <v>588.79999999999995</v>
      </c>
      <c r="S5" s="33">
        <f t="shared" si="0"/>
        <v>594.6</v>
      </c>
      <c r="T5" s="33">
        <f t="shared" si="0"/>
        <v>574</v>
      </c>
      <c r="U5" s="33">
        <f t="shared" si="0"/>
        <v>597</v>
      </c>
      <c r="V5" s="33">
        <f t="shared" si="0"/>
        <v>569</v>
      </c>
      <c r="W5" s="33">
        <f t="shared" si="0"/>
        <v>545.5</v>
      </c>
      <c r="X5" s="33">
        <f t="shared" si="0"/>
        <v>431.9</v>
      </c>
      <c r="Y5" s="33">
        <f t="shared" si="0"/>
        <v>420</v>
      </c>
      <c r="Z5" s="33">
        <f t="shared" si="0"/>
        <v>435.4</v>
      </c>
      <c r="AA5" s="33">
        <f t="shared" si="0"/>
        <v>462.40000000000003</v>
      </c>
      <c r="AB5" s="33">
        <f t="shared" si="0"/>
        <v>470.40000000000003</v>
      </c>
      <c r="AC5" s="33">
        <f t="shared" si="0"/>
        <v>490.1</v>
      </c>
      <c r="AD5" s="33">
        <f t="shared" si="0"/>
        <v>570</v>
      </c>
      <c r="AE5" s="33">
        <f t="shared" si="0"/>
        <v>616</v>
      </c>
      <c r="AF5" s="33">
        <f>B82</f>
        <v>428.6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1442MW at 8:00hr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Load=1301</v>
      </c>
      <c r="B7" s="38">
        <f t="shared" ref="B7:AF7" si="1">B89</f>
        <v>1344.2400000000002</v>
      </c>
      <c r="C7" s="38">
        <f t="shared" si="1"/>
        <v>1339.8400000000001</v>
      </c>
      <c r="D7" s="38">
        <f t="shared" si="1"/>
        <v>1319.34</v>
      </c>
      <c r="E7" s="38">
        <f t="shared" si="1"/>
        <v>1304.44</v>
      </c>
      <c r="F7" s="38">
        <f t="shared" si="1"/>
        <v>1301.04</v>
      </c>
      <c r="G7" s="38">
        <f t="shared" si="1"/>
        <v>1329.84</v>
      </c>
      <c r="H7" s="38">
        <f t="shared" si="1"/>
        <v>1324.44</v>
      </c>
      <c r="I7" s="38">
        <f t="shared" si="1"/>
        <v>1347.3400000000001</v>
      </c>
      <c r="J7" s="38">
        <f t="shared" si="1"/>
        <v>1388.54</v>
      </c>
      <c r="K7" s="38">
        <f t="shared" si="1"/>
        <v>1385.8400000000001</v>
      </c>
      <c r="L7" s="38">
        <f t="shared" si="1"/>
        <v>1417.6399999999999</v>
      </c>
      <c r="M7" s="38">
        <f t="shared" si="1"/>
        <v>1441.7399999999998</v>
      </c>
      <c r="N7" s="38">
        <f>N89</f>
        <v>1398.94</v>
      </c>
      <c r="O7" s="38">
        <f t="shared" si="1"/>
        <v>1491.1399999999999</v>
      </c>
      <c r="P7" s="38">
        <f t="shared" si="1"/>
        <v>1446.8399999999997</v>
      </c>
      <c r="Q7" s="38">
        <f t="shared" si="1"/>
        <v>1533.94</v>
      </c>
      <c r="R7" s="38">
        <f t="shared" si="1"/>
        <v>1552.94</v>
      </c>
      <c r="S7" s="38">
        <f t="shared" si="1"/>
        <v>1562.4399999999998</v>
      </c>
      <c r="T7" s="38">
        <f t="shared" si="1"/>
        <v>1580.2399999999998</v>
      </c>
      <c r="U7" s="38">
        <f t="shared" si="1"/>
        <v>1567.6399999999999</v>
      </c>
      <c r="V7" s="38">
        <f t="shared" si="1"/>
        <v>1580.1399999999999</v>
      </c>
      <c r="W7" s="38">
        <f t="shared" si="1"/>
        <v>1421.7399999999998</v>
      </c>
      <c r="X7" s="38">
        <f t="shared" si="1"/>
        <v>1555.9399999999998</v>
      </c>
      <c r="Y7" s="38">
        <f t="shared" si="1"/>
        <v>1625.2399999999998</v>
      </c>
      <c r="Z7" s="38">
        <f t="shared" si="1"/>
        <v>1613.44</v>
      </c>
      <c r="AA7" s="38">
        <f t="shared" si="1"/>
        <v>1695.94</v>
      </c>
      <c r="AB7" s="38">
        <f t="shared" si="1"/>
        <v>1684.7400000000002</v>
      </c>
      <c r="AC7" s="38">
        <f t="shared" si="1"/>
        <v>1641.7400000000002</v>
      </c>
      <c r="AD7" s="38">
        <f t="shared" si="1"/>
        <v>1605.8400000000001</v>
      </c>
      <c r="AE7" s="38">
        <f t="shared" si="1"/>
        <v>1464.74</v>
      </c>
      <c r="AF7" s="38">
        <f t="shared" si="1"/>
        <v>1441.24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29.1</v>
      </c>
      <c r="C11" s="50">
        <v>27</v>
      </c>
      <c r="D11" s="50">
        <v>27</v>
      </c>
      <c r="E11" s="50">
        <v>27</v>
      </c>
      <c r="F11" s="50">
        <v>27</v>
      </c>
      <c r="G11" s="50">
        <v>27</v>
      </c>
      <c r="H11" s="50">
        <v>27</v>
      </c>
      <c r="I11" s="50">
        <v>27</v>
      </c>
      <c r="J11" s="50">
        <v>27</v>
      </c>
      <c r="K11" s="50">
        <v>27</v>
      </c>
      <c r="L11" s="50">
        <v>27</v>
      </c>
      <c r="M11" s="50">
        <v>26.7</v>
      </c>
      <c r="N11" s="50">
        <v>26.7</v>
      </c>
      <c r="O11" s="50">
        <v>26.7</v>
      </c>
      <c r="P11" s="50">
        <v>26.7</v>
      </c>
      <c r="Q11" s="50">
        <v>26.7</v>
      </c>
      <c r="R11" s="50">
        <v>26.7</v>
      </c>
      <c r="S11" s="50">
        <v>26.7</v>
      </c>
      <c r="T11" s="50">
        <v>26.7</v>
      </c>
      <c r="U11" s="50">
        <v>26.7</v>
      </c>
      <c r="V11" s="50">
        <v>26.7</v>
      </c>
      <c r="W11" s="50">
        <v>26.7</v>
      </c>
      <c r="X11" s="50">
        <v>26.7</v>
      </c>
      <c r="Y11" s="50">
        <v>26.7</v>
      </c>
      <c r="Z11" s="50">
        <v>26.7</v>
      </c>
      <c r="AA11" s="50">
        <v>26.7</v>
      </c>
      <c r="AB11" s="50">
        <v>26.7</v>
      </c>
      <c r="AC11" s="50">
        <v>26.7</v>
      </c>
      <c r="AD11" s="50">
        <v>26.7</v>
      </c>
      <c r="AE11" s="50">
        <v>26.7</v>
      </c>
      <c r="AF11" s="50">
        <v>26.7</v>
      </c>
      <c r="AG11" s="51">
        <v>86</v>
      </c>
      <c r="AH11" s="52">
        <f t="shared" ref="AH11:AH74" si="2">MAX(B11:AF11)</f>
        <v>29.1</v>
      </c>
      <c r="AI11" s="53">
        <f t="shared" ref="AI11:AI74" si="3">MIN(B11:AF11)</f>
        <v>26.7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0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19</v>
      </c>
      <c r="AD12" s="50">
        <v>19</v>
      </c>
      <c r="AE12" s="50">
        <v>19</v>
      </c>
      <c r="AF12" s="50">
        <v>19</v>
      </c>
      <c r="AG12" s="51">
        <v>52.4</v>
      </c>
      <c r="AH12" s="52">
        <f t="shared" si="2"/>
        <v>19</v>
      </c>
      <c r="AI12" s="53">
        <f t="shared" si="3"/>
        <v>0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39.5</v>
      </c>
      <c r="C13" s="50">
        <v>39.5</v>
      </c>
      <c r="D13" s="50">
        <v>39.5</v>
      </c>
      <c r="E13" s="50">
        <v>44.7</v>
      </c>
      <c r="F13" s="50">
        <v>44.6</v>
      </c>
      <c r="G13" s="50">
        <v>44.6</v>
      </c>
      <c r="H13" s="50">
        <v>44.6</v>
      </c>
      <c r="I13" s="50">
        <v>44.6</v>
      </c>
      <c r="J13" s="50">
        <v>44.6</v>
      </c>
      <c r="K13" s="50">
        <v>44.6</v>
      </c>
      <c r="L13" s="50">
        <v>44.6</v>
      </c>
      <c r="M13" s="50">
        <v>44.6</v>
      </c>
      <c r="N13" s="50">
        <v>44.6</v>
      </c>
      <c r="O13" s="50">
        <v>44.6</v>
      </c>
      <c r="P13" s="50">
        <v>41.6</v>
      </c>
      <c r="Q13" s="50">
        <v>41.6</v>
      </c>
      <c r="R13" s="50">
        <v>41.6</v>
      </c>
      <c r="S13" s="50">
        <v>41.6</v>
      </c>
      <c r="T13" s="50">
        <v>41.6</v>
      </c>
      <c r="U13" s="50">
        <v>41.6</v>
      </c>
      <c r="V13" s="50">
        <v>41.6</v>
      </c>
      <c r="W13" s="50">
        <v>41.6</v>
      </c>
      <c r="X13" s="50">
        <v>39.700000000000003</v>
      </c>
      <c r="Y13" s="50">
        <v>39.700000000000003</v>
      </c>
      <c r="Z13" s="50">
        <v>39.700000000000003</v>
      </c>
      <c r="AA13" s="50">
        <v>39.5</v>
      </c>
      <c r="AB13" s="50">
        <v>39.5</v>
      </c>
      <c r="AC13" s="50">
        <v>39.5</v>
      </c>
      <c r="AD13" s="50">
        <v>39.5</v>
      </c>
      <c r="AE13" s="50">
        <v>39.5</v>
      </c>
      <c r="AF13" s="50">
        <v>39.5</v>
      </c>
      <c r="AG13" s="55">
        <v>50</v>
      </c>
      <c r="AH13" s="52">
        <f t="shared" si="2"/>
        <v>44.7</v>
      </c>
      <c r="AI13" s="53">
        <f t="shared" si="3"/>
        <v>39.5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21.5</v>
      </c>
      <c r="C14" s="50">
        <v>21.5</v>
      </c>
      <c r="D14" s="50">
        <v>21.5</v>
      </c>
      <c r="E14" s="50">
        <v>20.7</v>
      </c>
      <c r="F14" s="50">
        <v>20.399999999999999</v>
      </c>
      <c r="G14" s="50">
        <v>20.399999999999999</v>
      </c>
      <c r="H14" s="50">
        <v>20.399999999999999</v>
      </c>
      <c r="I14" s="50">
        <v>20.399999999999999</v>
      </c>
      <c r="J14" s="50">
        <v>20.399999999999999</v>
      </c>
      <c r="K14" s="50">
        <v>20.399999999999999</v>
      </c>
      <c r="L14" s="50">
        <v>20.399999999999999</v>
      </c>
      <c r="M14" s="50">
        <v>19.399999999999999</v>
      </c>
      <c r="N14" s="50">
        <v>19.399999999999999</v>
      </c>
      <c r="O14" s="50">
        <v>19.399999999999999</v>
      </c>
      <c r="P14" s="50">
        <v>19.399999999999999</v>
      </c>
      <c r="Q14" s="50">
        <v>19.399999999999999</v>
      </c>
      <c r="R14" s="50">
        <v>19.399999999999999</v>
      </c>
      <c r="S14" s="50">
        <v>19.399999999999999</v>
      </c>
      <c r="T14" s="50">
        <v>19.399999999999999</v>
      </c>
      <c r="U14" s="50">
        <v>19.399999999999999</v>
      </c>
      <c r="V14" s="50">
        <v>19.399999999999999</v>
      </c>
      <c r="W14" s="50">
        <v>19.399999999999999</v>
      </c>
      <c r="X14" s="50">
        <v>21.3</v>
      </c>
      <c r="Y14" s="50">
        <v>21.3</v>
      </c>
      <c r="Z14" s="50">
        <v>21.3</v>
      </c>
      <c r="AA14" s="50">
        <v>22.7</v>
      </c>
      <c r="AB14" s="50">
        <v>22.7</v>
      </c>
      <c r="AC14" s="50">
        <v>22.7</v>
      </c>
      <c r="AD14" s="50">
        <v>22.7</v>
      </c>
      <c r="AE14" s="50">
        <v>22.7</v>
      </c>
      <c r="AF14" s="50">
        <v>22.7</v>
      </c>
      <c r="AG14" s="55">
        <v>45</v>
      </c>
      <c r="AH14" s="52">
        <f t="shared" si="2"/>
        <v>22.7</v>
      </c>
      <c r="AI14" s="53">
        <f t="shared" si="3"/>
        <v>19.399999999999999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19</v>
      </c>
      <c r="C15" s="50">
        <v>19</v>
      </c>
      <c r="D15" s="50">
        <v>19</v>
      </c>
      <c r="E15" s="50">
        <v>19</v>
      </c>
      <c r="F15" s="50">
        <v>19</v>
      </c>
      <c r="G15" s="50">
        <v>19</v>
      </c>
      <c r="H15" s="50">
        <v>19</v>
      </c>
      <c r="I15" s="50">
        <v>19</v>
      </c>
      <c r="J15" s="50">
        <v>19</v>
      </c>
      <c r="K15" s="50">
        <v>19</v>
      </c>
      <c r="L15" s="50">
        <v>19</v>
      </c>
      <c r="M15" s="50">
        <v>19</v>
      </c>
      <c r="N15" s="50">
        <v>19</v>
      </c>
      <c r="O15" s="50">
        <v>19</v>
      </c>
      <c r="P15" s="50">
        <v>19</v>
      </c>
      <c r="Q15" s="50">
        <v>19</v>
      </c>
      <c r="R15" s="50">
        <v>19</v>
      </c>
      <c r="S15" s="50">
        <v>19</v>
      </c>
      <c r="T15" s="50">
        <v>19</v>
      </c>
      <c r="U15" s="50">
        <v>19</v>
      </c>
      <c r="V15" s="50">
        <v>19</v>
      </c>
      <c r="W15" s="50">
        <v>19</v>
      </c>
      <c r="X15" s="50">
        <v>19</v>
      </c>
      <c r="Y15" s="50">
        <v>19</v>
      </c>
      <c r="Z15" s="50">
        <v>19</v>
      </c>
      <c r="AA15" s="50">
        <v>19</v>
      </c>
      <c r="AB15" s="50">
        <v>19</v>
      </c>
      <c r="AC15" s="50">
        <v>19</v>
      </c>
      <c r="AD15" s="50">
        <v>19</v>
      </c>
      <c r="AE15" s="50">
        <v>19</v>
      </c>
      <c r="AF15" s="50">
        <v>19</v>
      </c>
      <c r="AG15" s="55">
        <v>42</v>
      </c>
      <c r="AH15" s="52">
        <f t="shared" si="2"/>
        <v>19</v>
      </c>
      <c r="AI15" s="53">
        <f t="shared" si="3"/>
        <v>19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21</v>
      </c>
      <c r="C16" s="50">
        <v>21</v>
      </c>
      <c r="D16" s="50">
        <v>21</v>
      </c>
      <c r="E16" s="50">
        <v>21</v>
      </c>
      <c r="F16" s="50">
        <v>21</v>
      </c>
      <c r="G16" s="50">
        <v>21</v>
      </c>
      <c r="H16" s="50">
        <v>21</v>
      </c>
      <c r="I16" s="50">
        <v>21</v>
      </c>
      <c r="J16" s="50">
        <v>21</v>
      </c>
      <c r="K16" s="50">
        <v>21</v>
      </c>
      <c r="L16" s="50">
        <v>21</v>
      </c>
      <c r="M16" s="50">
        <v>21</v>
      </c>
      <c r="N16" s="50">
        <v>21</v>
      </c>
      <c r="O16" s="50">
        <v>21</v>
      </c>
      <c r="P16" s="50">
        <v>21</v>
      </c>
      <c r="Q16" s="50">
        <v>21</v>
      </c>
      <c r="R16" s="50">
        <v>21</v>
      </c>
      <c r="S16" s="50">
        <v>21</v>
      </c>
      <c r="T16" s="50">
        <v>21</v>
      </c>
      <c r="U16" s="50">
        <v>21</v>
      </c>
      <c r="V16" s="50">
        <v>21</v>
      </c>
      <c r="W16" s="50">
        <v>21</v>
      </c>
      <c r="X16" s="50">
        <v>21</v>
      </c>
      <c r="Y16" s="50">
        <v>21</v>
      </c>
      <c r="Z16" s="50">
        <v>21</v>
      </c>
      <c r="AA16" s="50">
        <v>21</v>
      </c>
      <c r="AB16" s="50">
        <v>21</v>
      </c>
      <c r="AC16" s="50">
        <v>21</v>
      </c>
      <c r="AD16" s="50">
        <v>21</v>
      </c>
      <c r="AE16" s="50">
        <v>21</v>
      </c>
      <c r="AF16" s="50">
        <v>21</v>
      </c>
      <c r="AG16" s="55">
        <v>36</v>
      </c>
      <c r="AH16" s="52">
        <f t="shared" si="2"/>
        <v>21</v>
      </c>
      <c r="AI16" s="53">
        <f t="shared" si="3"/>
        <v>21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12.5</v>
      </c>
      <c r="C17" s="50">
        <v>12.5</v>
      </c>
      <c r="D17" s="50">
        <v>12.5</v>
      </c>
      <c r="E17" s="50">
        <v>12.5</v>
      </c>
      <c r="F17" s="50">
        <v>12.5</v>
      </c>
      <c r="G17" s="50">
        <v>12.5</v>
      </c>
      <c r="H17" s="50">
        <v>12.5</v>
      </c>
      <c r="I17" s="50">
        <v>12.5</v>
      </c>
      <c r="J17" s="50">
        <v>12.5</v>
      </c>
      <c r="K17" s="50">
        <v>12.5</v>
      </c>
      <c r="L17" s="50">
        <v>12.5</v>
      </c>
      <c r="M17" s="50">
        <v>12.5</v>
      </c>
      <c r="N17" s="50">
        <v>12.5</v>
      </c>
      <c r="O17" s="50">
        <v>12.5</v>
      </c>
      <c r="P17" s="50">
        <v>12.5</v>
      </c>
      <c r="Q17" s="50">
        <v>12.5</v>
      </c>
      <c r="R17" s="50">
        <v>12.5</v>
      </c>
      <c r="S17" s="50">
        <v>12.5</v>
      </c>
      <c r="T17" s="50">
        <v>12.5</v>
      </c>
      <c r="U17" s="50">
        <v>12.5</v>
      </c>
      <c r="V17" s="50">
        <v>12.5</v>
      </c>
      <c r="W17" s="50">
        <v>12.5</v>
      </c>
      <c r="X17" s="50">
        <v>12.5</v>
      </c>
      <c r="Y17" s="50">
        <v>12.5</v>
      </c>
      <c r="Z17" s="50">
        <v>12.5</v>
      </c>
      <c r="AA17" s="50">
        <v>12.5</v>
      </c>
      <c r="AB17" s="50">
        <v>12.5</v>
      </c>
      <c r="AC17" s="50">
        <v>12.5</v>
      </c>
      <c r="AD17" s="50">
        <v>12.5</v>
      </c>
      <c r="AE17" s="50">
        <v>12.5</v>
      </c>
      <c r="AF17" s="50">
        <v>12.5</v>
      </c>
      <c r="AG17" s="55">
        <v>36</v>
      </c>
      <c r="AH17" s="52">
        <f t="shared" si="2"/>
        <v>12.5</v>
      </c>
      <c r="AI17" s="53">
        <f t="shared" si="3"/>
        <v>12.5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12.8</v>
      </c>
      <c r="C18" s="50">
        <v>12.8</v>
      </c>
      <c r="D18" s="50">
        <v>12.8</v>
      </c>
      <c r="E18" s="50">
        <v>13.1</v>
      </c>
      <c r="F18" s="50">
        <v>12.9</v>
      </c>
      <c r="G18" s="50">
        <v>12.9</v>
      </c>
      <c r="H18" s="50">
        <v>12.9</v>
      </c>
      <c r="I18" s="50">
        <v>12.9</v>
      </c>
      <c r="J18" s="50">
        <v>12.9</v>
      </c>
      <c r="K18" s="50">
        <v>12.9</v>
      </c>
      <c r="L18" s="50">
        <v>12.9</v>
      </c>
      <c r="M18" s="50">
        <v>12.9</v>
      </c>
      <c r="N18" s="50">
        <v>12.9</v>
      </c>
      <c r="O18" s="50">
        <v>12.9</v>
      </c>
      <c r="P18" s="50">
        <v>12.9</v>
      </c>
      <c r="Q18" s="50">
        <v>12.9</v>
      </c>
      <c r="R18" s="50">
        <v>12.9</v>
      </c>
      <c r="S18" s="50">
        <v>12.9</v>
      </c>
      <c r="T18" s="50">
        <v>12.9</v>
      </c>
      <c r="U18" s="50">
        <v>12.9</v>
      </c>
      <c r="V18" s="50">
        <v>12.9</v>
      </c>
      <c r="W18" s="50">
        <v>12.9</v>
      </c>
      <c r="X18" s="50">
        <v>12.9</v>
      </c>
      <c r="Y18" s="50">
        <v>12.9</v>
      </c>
      <c r="Z18" s="50">
        <v>12.9</v>
      </c>
      <c r="AA18" s="50">
        <v>12.2</v>
      </c>
      <c r="AB18" s="50">
        <v>12.2</v>
      </c>
      <c r="AC18" s="50">
        <v>12.2</v>
      </c>
      <c r="AD18" s="50">
        <v>12.2</v>
      </c>
      <c r="AE18" s="50">
        <v>12.2</v>
      </c>
      <c r="AF18" s="50">
        <v>12.2</v>
      </c>
      <c r="AG18" s="56">
        <v>30</v>
      </c>
      <c r="AH18" s="52">
        <f t="shared" si="2"/>
        <v>13.1</v>
      </c>
      <c r="AI18" s="53">
        <f t="shared" si="3"/>
        <v>12.2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7.5</v>
      </c>
      <c r="C19" s="50">
        <v>7.5</v>
      </c>
      <c r="D19" s="50">
        <v>7.5</v>
      </c>
      <c r="E19" s="50">
        <v>8</v>
      </c>
      <c r="F19" s="50">
        <v>8</v>
      </c>
      <c r="G19" s="50">
        <v>8</v>
      </c>
      <c r="H19" s="50">
        <v>8</v>
      </c>
      <c r="I19" s="50">
        <v>8</v>
      </c>
      <c r="J19" s="50">
        <v>8</v>
      </c>
      <c r="K19" s="50">
        <v>8</v>
      </c>
      <c r="L19" s="50">
        <v>8</v>
      </c>
      <c r="M19" s="50">
        <v>8</v>
      </c>
      <c r="N19" s="50">
        <v>8</v>
      </c>
      <c r="O19" s="50">
        <v>8</v>
      </c>
      <c r="P19" s="50">
        <v>8</v>
      </c>
      <c r="Q19" s="50">
        <v>8</v>
      </c>
      <c r="R19" s="50">
        <v>8</v>
      </c>
      <c r="S19" s="50">
        <v>8</v>
      </c>
      <c r="T19" s="50">
        <v>8</v>
      </c>
      <c r="U19" s="50">
        <v>8</v>
      </c>
      <c r="V19" s="50">
        <v>8</v>
      </c>
      <c r="W19" s="50">
        <v>8</v>
      </c>
      <c r="X19" s="50">
        <v>8</v>
      </c>
      <c r="Y19" s="50">
        <v>8</v>
      </c>
      <c r="Z19" s="50">
        <v>8</v>
      </c>
      <c r="AA19" s="50">
        <v>8</v>
      </c>
      <c r="AB19" s="50">
        <v>8</v>
      </c>
      <c r="AC19" s="50">
        <v>8</v>
      </c>
      <c r="AD19" s="50">
        <v>8</v>
      </c>
      <c r="AE19" s="50">
        <v>8</v>
      </c>
      <c r="AF19" s="50">
        <v>8</v>
      </c>
      <c r="AG19" s="55">
        <v>24.2</v>
      </c>
      <c r="AH19" s="52">
        <f t="shared" si="2"/>
        <v>8</v>
      </c>
      <c r="AI19" s="53">
        <f t="shared" si="3"/>
        <v>7.5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8.5</v>
      </c>
      <c r="C20" s="50">
        <v>8.5</v>
      </c>
      <c r="D20" s="50">
        <v>8.5</v>
      </c>
      <c r="E20" s="50">
        <v>8.5</v>
      </c>
      <c r="F20" s="50">
        <v>8.5</v>
      </c>
      <c r="G20" s="50">
        <v>8.5</v>
      </c>
      <c r="H20" s="50">
        <v>8.5</v>
      </c>
      <c r="I20" s="50">
        <v>8.5</v>
      </c>
      <c r="J20" s="50">
        <v>8.5</v>
      </c>
      <c r="K20" s="50">
        <v>8.5</v>
      </c>
      <c r="L20" s="50">
        <v>8.5</v>
      </c>
      <c r="M20" s="50">
        <v>8.5</v>
      </c>
      <c r="N20" s="50">
        <v>8.5</v>
      </c>
      <c r="O20" s="50">
        <v>8.5</v>
      </c>
      <c r="P20" s="50">
        <v>8.5</v>
      </c>
      <c r="Q20" s="50">
        <v>8.5</v>
      </c>
      <c r="R20" s="50">
        <v>8.5</v>
      </c>
      <c r="S20" s="50">
        <v>8.5</v>
      </c>
      <c r="T20" s="50">
        <v>8.5</v>
      </c>
      <c r="U20" s="50">
        <v>8.5</v>
      </c>
      <c r="V20" s="50">
        <v>8.5</v>
      </c>
      <c r="W20" s="50">
        <v>8.5</v>
      </c>
      <c r="X20" s="50">
        <v>8.5</v>
      </c>
      <c r="Y20" s="50">
        <v>8.5</v>
      </c>
      <c r="Z20" s="50">
        <v>8.5</v>
      </c>
      <c r="AA20" s="50">
        <v>8.5</v>
      </c>
      <c r="AB20" s="50">
        <v>8.5</v>
      </c>
      <c r="AC20" s="50">
        <v>8.5</v>
      </c>
      <c r="AD20" s="50">
        <v>8.5</v>
      </c>
      <c r="AE20" s="50">
        <v>8.5</v>
      </c>
      <c r="AF20" s="50">
        <v>8.5</v>
      </c>
      <c r="AG20" s="55">
        <v>28</v>
      </c>
      <c r="AH20" s="52">
        <f t="shared" si="2"/>
        <v>8.5</v>
      </c>
      <c r="AI20" s="53">
        <f t="shared" si="3"/>
        <v>8.5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6.5</v>
      </c>
      <c r="C21" s="50">
        <v>6.5</v>
      </c>
      <c r="D21" s="50">
        <v>6.5</v>
      </c>
      <c r="E21" s="50">
        <v>6.5</v>
      </c>
      <c r="F21" s="50">
        <v>6.5</v>
      </c>
      <c r="G21" s="50">
        <v>6.5</v>
      </c>
      <c r="H21" s="50">
        <v>6.5</v>
      </c>
      <c r="I21" s="50">
        <v>6.5</v>
      </c>
      <c r="J21" s="50">
        <v>6.5</v>
      </c>
      <c r="K21" s="50">
        <v>6.5</v>
      </c>
      <c r="L21" s="50">
        <v>6.5</v>
      </c>
      <c r="M21" s="50">
        <v>6.5</v>
      </c>
      <c r="N21" s="50">
        <v>6.5</v>
      </c>
      <c r="O21" s="50">
        <v>6.5</v>
      </c>
      <c r="P21" s="50">
        <v>6.5</v>
      </c>
      <c r="Q21" s="50">
        <v>6.5</v>
      </c>
      <c r="R21" s="50">
        <v>6.5</v>
      </c>
      <c r="S21" s="50">
        <v>6.5</v>
      </c>
      <c r="T21" s="50">
        <v>6.5</v>
      </c>
      <c r="U21" s="50">
        <v>6.5</v>
      </c>
      <c r="V21" s="50">
        <v>6.5</v>
      </c>
      <c r="W21" s="50">
        <v>6.5</v>
      </c>
      <c r="X21" s="50">
        <v>6.5</v>
      </c>
      <c r="Y21" s="50">
        <v>6.5</v>
      </c>
      <c r="Z21" s="50">
        <v>6.5</v>
      </c>
      <c r="AA21" s="50">
        <v>6.5</v>
      </c>
      <c r="AB21" s="50">
        <v>6.5</v>
      </c>
      <c r="AC21" s="50">
        <v>6.5</v>
      </c>
      <c r="AD21" s="50">
        <v>6.5</v>
      </c>
      <c r="AE21" s="50">
        <v>6.5</v>
      </c>
      <c r="AF21" s="50">
        <v>6.5</v>
      </c>
      <c r="AG21" s="56">
        <v>30</v>
      </c>
      <c r="AH21" s="52">
        <f t="shared" si="2"/>
        <v>6.5</v>
      </c>
      <c r="AI21" s="53">
        <f t="shared" si="3"/>
        <v>6.5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11</v>
      </c>
      <c r="C22" s="50">
        <v>11</v>
      </c>
      <c r="D22" s="50">
        <v>11</v>
      </c>
      <c r="E22" s="50">
        <v>11.7</v>
      </c>
      <c r="F22" s="50">
        <v>11.7</v>
      </c>
      <c r="G22" s="50">
        <v>11.7</v>
      </c>
      <c r="H22" s="50">
        <v>11.7</v>
      </c>
      <c r="I22" s="50">
        <v>11.7</v>
      </c>
      <c r="J22" s="50">
        <v>11.7</v>
      </c>
      <c r="K22" s="50">
        <v>11.7</v>
      </c>
      <c r="L22" s="50">
        <v>11.7</v>
      </c>
      <c r="M22" s="50">
        <v>11.7</v>
      </c>
      <c r="N22" s="50">
        <v>11.7</v>
      </c>
      <c r="O22" s="50">
        <v>11.7</v>
      </c>
      <c r="P22" s="50">
        <v>11.7</v>
      </c>
      <c r="Q22" s="50">
        <v>11.7</v>
      </c>
      <c r="R22" s="50">
        <v>11.7</v>
      </c>
      <c r="S22" s="50">
        <v>11.7</v>
      </c>
      <c r="T22" s="50">
        <v>11.7</v>
      </c>
      <c r="U22" s="50">
        <v>11.7</v>
      </c>
      <c r="V22" s="50">
        <v>11.7</v>
      </c>
      <c r="W22" s="50">
        <v>11.7</v>
      </c>
      <c r="X22" s="50">
        <v>11.7</v>
      </c>
      <c r="Y22" s="50">
        <v>11.7</v>
      </c>
      <c r="Z22" s="50">
        <v>11.7</v>
      </c>
      <c r="AA22" s="50">
        <v>11.7</v>
      </c>
      <c r="AB22" s="50">
        <v>11.7</v>
      </c>
      <c r="AC22" s="50">
        <v>11.7</v>
      </c>
      <c r="AD22" s="50">
        <v>11.7</v>
      </c>
      <c r="AE22" s="50">
        <v>11.7</v>
      </c>
      <c r="AF22" s="50">
        <v>11.7</v>
      </c>
      <c r="AG22" s="55">
        <v>25</v>
      </c>
      <c r="AH22" s="52">
        <f t="shared" si="2"/>
        <v>11.7</v>
      </c>
      <c r="AI22" s="53">
        <f t="shared" si="3"/>
        <v>11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10</v>
      </c>
      <c r="C23" s="50">
        <v>10</v>
      </c>
      <c r="D23" s="50">
        <v>10</v>
      </c>
      <c r="E23" s="50">
        <v>10</v>
      </c>
      <c r="F23" s="50">
        <v>10</v>
      </c>
      <c r="G23" s="50">
        <v>10</v>
      </c>
      <c r="H23" s="50">
        <v>10</v>
      </c>
      <c r="I23" s="50">
        <v>10</v>
      </c>
      <c r="J23" s="50">
        <v>10</v>
      </c>
      <c r="K23" s="50">
        <v>10</v>
      </c>
      <c r="L23" s="50">
        <v>10</v>
      </c>
      <c r="M23" s="50">
        <v>10</v>
      </c>
      <c r="N23" s="50">
        <v>10</v>
      </c>
      <c r="O23" s="50">
        <v>10</v>
      </c>
      <c r="P23" s="50">
        <v>10</v>
      </c>
      <c r="Q23" s="50">
        <v>10</v>
      </c>
      <c r="R23" s="50">
        <v>10</v>
      </c>
      <c r="S23" s="50">
        <v>10</v>
      </c>
      <c r="T23" s="50">
        <v>10</v>
      </c>
      <c r="U23" s="50">
        <v>10</v>
      </c>
      <c r="V23" s="50">
        <v>10</v>
      </c>
      <c r="W23" s="50">
        <v>10</v>
      </c>
      <c r="X23" s="50">
        <v>10</v>
      </c>
      <c r="Y23" s="50">
        <v>10</v>
      </c>
      <c r="Z23" s="50">
        <v>10</v>
      </c>
      <c r="AA23" s="50">
        <v>10</v>
      </c>
      <c r="AB23" s="50">
        <v>10</v>
      </c>
      <c r="AC23" s="50">
        <v>10</v>
      </c>
      <c r="AD23" s="50">
        <v>10</v>
      </c>
      <c r="AE23" s="50">
        <v>10</v>
      </c>
      <c r="AF23" s="50">
        <v>10</v>
      </c>
      <c r="AG23" s="55">
        <v>25</v>
      </c>
      <c r="AH23" s="52">
        <f t="shared" si="2"/>
        <v>10</v>
      </c>
      <c r="AI23" s="53">
        <f t="shared" si="3"/>
        <v>10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7.5</v>
      </c>
      <c r="C24" s="50">
        <v>7.5</v>
      </c>
      <c r="D24" s="50">
        <v>7.5</v>
      </c>
      <c r="E24" s="50">
        <v>7.5</v>
      </c>
      <c r="F24" s="50">
        <v>7.5</v>
      </c>
      <c r="G24" s="50">
        <v>7.5</v>
      </c>
      <c r="H24" s="50">
        <v>7.5</v>
      </c>
      <c r="I24" s="50">
        <v>7.5</v>
      </c>
      <c r="J24" s="50">
        <v>7.5</v>
      </c>
      <c r="K24" s="50">
        <v>7.5</v>
      </c>
      <c r="L24" s="50">
        <v>7.5</v>
      </c>
      <c r="M24" s="50">
        <v>7.5</v>
      </c>
      <c r="N24" s="50">
        <v>7.5</v>
      </c>
      <c r="O24" s="50">
        <v>7.5</v>
      </c>
      <c r="P24" s="50">
        <v>7.5</v>
      </c>
      <c r="Q24" s="50">
        <v>7.5</v>
      </c>
      <c r="R24" s="50">
        <v>7.5</v>
      </c>
      <c r="S24" s="50">
        <v>7.5</v>
      </c>
      <c r="T24" s="50">
        <v>7.5</v>
      </c>
      <c r="U24" s="50">
        <v>7.5</v>
      </c>
      <c r="V24" s="50">
        <v>7.5</v>
      </c>
      <c r="W24" s="50">
        <v>7.5</v>
      </c>
      <c r="X24" s="50">
        <v>7.5</v>
      </c>
      <c r="Y24" s="50">
        <v>7.5</v>
      </c>
      <c r="Z24" s="50">
        <v>7.5</v>
      </c>
      <c r="AA24" s="50">
        <v>7.5</v>
      </c>
      <c r="AB24" s="50">
        <v>7.5</v>
      </c>
      <c r="AC24" s="50">
        <v>7.5</v>
      </c>
      <c r="AD24" s="50">
        <v>7.5</v>
      </c>
      <c r="AE24" s="50">
        <v>7.5</v>
      </c>
      <c r="AF24" s="50">
        <v>7.5</v>
      </c>
      <c r="AG24" s="55">
        <v>25</v>
      </c>
      <c r="AH24" s="52">
        <f t="shared" si="2"/>
        <v>7.5</v>
      </c>
      <c r="AI24" s="53">
        <f t="shared" si="3"/>
        <v>7.5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18</v>
      </c>
      <c r="C25" s="50">
        <v>18</v>
      </c>
      <c r="D25" s="50">
        <v>18</v>
      </c>
      <c r="E25" s="50">
        <v>18</v>
      </c>
      <c r="F25" s="50">
        <v>18</v>
      </c>
      <c r="G25" s="50">
        <v>18</v>
      </c>
      <c r="H25" s="50">
        <v>18</v>
      </c>
      <c r="I25" s="50">
        <v>18</v>
      </c>
      <c r="J25" s="50">
        <v>18</v>
      </c>
      <c r="K25" s="50">
        <v>18</v>
      </c>
      <c r="L25" s="50">
        <v>18</v>
      </c>
      <c r="M25" s="50">
        <v>18</v>
      </c>
      <c r="N25" s="50">
        <v>18</v>
      </c>
      <c r="O25" s="50">
        <v>18</v>
      </c>
      <c r="P25" s="50">
        <v>18</v>
      </c>
      <c r="Q25" s="50">
        <v>18</v>
      </c>
      <c r="R25" s="50">
        <v>18</v>
      </c>
      <c r="S25" s="50">
        <v>18</v>
      </c>
      <c r="T25" s="50">
        <v>18</v>
      </c>
      <c r="U25" s="50">
        <v>18</v>
      </c>
      <c r="V25" s="50">
        <v>18</v>
      </c>
      <c r="W25" s="50">
        <v>18</v>
      </c>
      <c r="X25" s="50">
        <v>18</v>
      </c>
      <c r="Y25" s="50">
        <v>18</v>
      </c>
      <c r="Z25" s="50">
        <v>18</v>
      </c>
      <c r="AA25" s="50">
        <v>18</v>
      </c>
      <c r="AB25" s="50">
        <v>18</v>
      </c>
      <c r="AC25" s="50">
        <v>18</v>
      </c>
      <c r="AD25" s="50">
        <v>18</v>
      </c>
      <c r="AE25" s="50">
        <v>18</v>
      </c>
      <c r="AF25" s="50">
        <v>18</v>
      </c>
      <c r="AG25" s="55">
        <v>25</v>
      </c>
      <c r="AH25" s="52">
        <f t="shared" si="2"/>
        <v>18</v>
      </c>
      <c r="AI25" s="53">
        <f t="shared" si="3"/>
        <v>18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5.8</v>
      </c>
      <c r="C26" s="50">
        <v>5.8</v>
      </c>
      <c r="D26" s="50">
        <v>5.8</v>
      </c>
      <c r="E26" s="50">
        <v>6.6</v>
      </c>
      <c r="F26" s="50">
        <v>6.6</v>
      </c>
      <c r="G26" s="50">
        <v>6.6</v>
      </c>
      <c r="H26" s="50">
        <v>6.6</v>
      </c>
      <c r="I26" s="50">
        <v>6.6</v>
      </c>
      <c r="J26" s="50">
        <v>6.6</v>
      </c>
      <c r="K26" s="50">
        <v>6.6</v>
      </c>
      <c r="L26" s="50">
        <v>6.6</v>
      </c>
      <c r="M26" s="50">
        <v>6.6</v>
      </c>
      <c r="N26" s="50">
        <v>6.6</v>
      </c>
      <c r="O26" s="50">
        <v>6.6</v>
      </c>
      <c r="P26" s="50">
        <v>6.6</v>
      </c>
      <c r="Q26" s="50">
        <v>6.6</v>
      </c>
      <c r="R26" s="50">
        <v>6.6</v>
      </c>
      <c r="S26" s="50">
        <v>6.6</v>
      </c>
      <c r="T26" s="50">
        <v>6.6</v>
      </c>
      <c r="U26" s="50">
        <v>6.6</v>
      </c>
      <c r="V26" s="50">
        <v>6.6</v>
      </c>
      <c r="W26" s="50">
        <v>6.6</v>
      </c>
      <c r="X26" s="50">
        <v>6.6</v>
      </c>
      <c r="Y26" s="50">
        <v>6.6</v>
      </c>
      <c r="Z26" s="50">
        <v>6.6</v>
      </c>
      <c r="AA26" s="50">
        <v>6.6</v>
      </c>
      <c r="AB26" s="50">
        <v>6.6</v>
      </c>
      <c r="AC26" s="50">
        <v>6.6</v>
      </c>
      <c r="AD26" s="50">
        <v>6.6</v>
      </c>
      <c r="AE26" s="50">
        <v>6.6</v>
      </c>
      <c r="AF26" s="50">
        <v>6.6</v>
      </c>
      <c r="AG26" s="55">
        <v>23.5</v>
      </c>
      <c r="AH26" s="52">
        <f t="shared" si="2"/>
        <v>6.6</v>
      </c>
      <c r="AI26" s="53">
        <f t="shared" si="3"/>
        <v>5.8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5">
        <v>22</v>
      </c>
      <c r="AH29" s="52">
        <f t="shared" si="2"/>
        <v>4</v>
      </c>
      <c r="AI29" s="53">
        <f t="shared" si="3"/>
        <v>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9.9</v>
      </c>
      <c r="C30" s="50">
        <v>9.9</v>
      </c>
      <c r="D30" s="50">
        <v>9.9</v>
      </c>
      <c r="E30" s="50">
        <v>9.9</v>
      </c>
      <c r="F30" s="50">
        <v>9.9</v>
      </c>
      <c r="G30" s="50">
        <v>9.9</v>
      </c>
      <c r="H30" s="50">
        <v>9.9</v>
      </c>
      <c r="I30" s="50">
        <v>9.9</v>
      </c>
      <c r="J30" s="50">
        <v>9.9</v>
      </c>
      <c r="K30" s="50">
        <v>9.9</v>
      </c>
      <c r="L30" s="50">
        <v>9.9</v>
      </c>
      <c r="M30" s="50">
        <v>9.9</v>
      </c>
      <c r="N30" s="50">
        <v>9.9</v>
      </c>
      <c r="O30" s="50">
        <v>9.9</v>
      </c>
      <c r="P30" s="50">
        <v>9.9</v>
      </c>
      <c r="Q30" s="50">
        <v>9.9</v>
      </c>
      <c r="R30" s="50">
        <v>9.9</v>
      </c>
      <c r="S30" s="50">
        <v>9.9</v>
      </c>
      <c r="T30" s="50">
        <v>9.9</v>
      </c>
      <c r="U30" s="50">
        <v>9.9</v>
      </c>
      <c r="V30" s="50">
        <v>9.9</v>
      </c>
      <c r="W30" s="50">
        <v>9.9</v>
      </c>
      <c r="X30" s="50">
        <v>9.9</v>
      </c>
      <c r="Y30" s="50">
        <v>9.9</v>
      </c>
      <c r="Z30" s="50">
        <v>9.9</v>
      </c>
      <c r="AA30" s="50">
        <v>9.9</v>
      </c>
      <c r="AB30" s="50">
        <v>9.9</v>
      </c>
      <c r="AC30" s="50">
        <v>9.9</v>
      </c>
      <c r="AD30" s="50">
        <v>9.9</v>
      </c>
      <c r="AE30" s="50">
        <v>9.9</v>
      </c>
      <c r="AF30" s="50">
        <v>9.9</v>
      </c>
      <c r="AG30" s="55">
        <v>22</v>
      </c>
      <c r="AH30" s="52">
        <f t="shared" si="2"/>
        <v>9.9</v>
      </c>
      <c r="AI30" s="53">
        <f t="shared" si="3"/>
        <v>9.9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6.4</v>
      </c>
      <c r="C32" s="50">
        <v>6.4</v>
      </c>
      <c r="D32" s="50">
        <v>6.4</v>
      </c>
      <c r="E32" s="50">
        <v>6.4</v>
      </c>
      <c r="F32" s="50">
        <v>6.4</v>
      </c>
      <c r="G32" s="50">
        <v>6.4</v>
      </c>
      <c r="H32" s="50">
        <v>6.4</v>
      </c>
      <c r="I32" s="50">
        <v>6.4</v>
      </c>
      <c r="J32" s="50">
        <v>6.4</v>
      </c>
      <c r="K32" s="50">
        <v>6.4</v>
      </c>
      <c r="L32" s="50">
        <v>6.4</v>
      </c>
      <c r="M32" s="50">
        <v>6.4</v>
      </c>
      <c r="N32" s="50">
        <v>6.4</v>
      </c>
      <c r="O32" s="50">
        <v>6.4</v>
      </c>
      <c r="P32" s="50">
        <v>6.4</v>
      </c>
      <c r="Q32" s="50">
        <v>6.4</v>
      </c>
      <c r="R32" s="50">
        <v>6.4</v>
      </c>
      <c r="S32" s="50">
        <v>6.4</v>
      </c>
      <c r="T32" s="50">
        <v>6.4</v>
      </c>
      <c r="U32" s="50">
        <v>6.4</v>
      </c>
      <c r="V32" s="50">
        <v>6.4</v>
      </c>
      <c r="W32" s="50">
        <v>6.4</v>
      </c>
      <c r="X32" s="50">
        <v>6.4</v>
      </c>
      <c r="Y32" s="50">
        <v>6.4</v>
      </c>
      <c r="Z32" s="50">
        <v>6.4</v>
      </c>
      <c r="AA32" s="50">
        <v>6.4</v>
      </c>
      <c r="AB32" s="50">
        <v>6.4</v>
      </c>
      <c r="AC32" s="50">
        <v>6.4</v>
      </c>
      <c r="AD32" s="50">
        <v>6.4</v>
      </c>
      <c r="AE32" s="50">
        <v>6.4</v>
      </c>
      <c r="AF32" s="50">
        <v>6.4</v>
      </c>
      <c r="AG32" s="55">
        <v>18</v>
      </c>
      <c r="AH32" s="52">
        <f t="shared" si="2"/>
        <v>6.4</v>
      </c>
      <c r="AI32" s="53">
        <f t="shared" si="3"/>
        <v>6.4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8.9</v>
      </c>
      <c r="C33" s="50">
        <v>8.9</v>
      </c>
      <c r="D33" s="50">
        <v>8.9</v>
      </c>
      <c r="E33" s="50">
        <v>8.9</v>
      </c>
      <c r="F33" s="50">
        <v>8.9</v>
      </c>
      <c r="G33" s="50">
        <v>8.9</v>
      </c>
      <c r="H33" s="50">
        <v>8.9</v>
      </c>
      <c r="I33" s="50">
        <v>8.9</v>
      </c>
      <c r="J33" s="50">
        <v>8.9</v>
      </c>
      <c r="K33" s="50">
        <v>8.9</v>
      </c>
      <c r="L33" s="50">
        <v>8.9</v>
      </c>
      <c r="M33" s="50">
        <v>8.9</v>
      </c>
      <c r="N33" s="50">
        <v>8.9</v>
      </c>
      <c r="O33" s="50">
        <v>8.9</v>
      </c>
      <c r="P33" s="50">
        <v>8.9</v>
      </c>
      <c r="Q33" s="50">
        <v>8.9</v>
      </c>
      <c r="R33" s="50">
        <v>8.9</v>
      </c>
      <c r="S33" s="50">
        <v>8.9</v>
      </c>
      <c r="T33" s="50">
        <v>8.9</v>
      </c>
      <c r="U33" s="50">
        <v>8.9</v>
      </c>
      <c r="V33" s="50">
        <v>8.9</v>
      </c>
      <c r="W33" s="50">
        <v>8.9</v>
      </c>
      <c r="X33" s="50">
        <v>8.9</v>
      </c>
      <c r="Y33" s="50">
        <v>8.9</v>
      </c>
      <c r="Z33" s="50">
        <v>8.9</v>
      </c>
      <c r="AA33" s="50">
        <v>8.9</v>
      </c>
      <c r="AB33" s="50">
        <v>8.9</v>
      </c>
      <c r="AC33" s="50">
        <v>8.9</v>
      </c>
      <c r="AD33" s="50">
        <v>8.9</v>
      </c>
      <c r="AE33" s="50">
        <v>8.9</v>
      </c>
      <c r="AF33" s="50">
        <v>8.9</v>
      </c>
      <c r="AG33" s="55">
        <v>14.9</v>
      </c>
      <c r="AH33" s="52">
        <f t="shared" si="2"/>
        <v>8.9</v>
      </c>
      <c r="AI33" s="53">
        <f t="shared" si="3"/>
        <v>8.9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4</v>
      </c>
      <c r="C38" s="50">
        <v>4</v>
      </c>
      <c r="D38" s="50">
        <v>4</v>
      </c>
      <c r="E38" s="50">
        <v>4</v>
      </c>
      <c r="F38" s="50">
        <v>4</v>
      </c>
      <c r="G38" s="50">
        <v>4</v>
      </c>
      <c r="H38" s="50">
        <v>4</v>
      </c>
      <c r="I38" s="50">
        <v>4</v>
      </c>
      <c r="J38" s="50">
        <v>4</v>
      </c>
      <c r="K38" s="50">
        <v>4</v>
      </c>
      <c r="L38" s="50">
        <v>4</v>
      </c>
      <c r="M38" s="50">
        <v>4</v>
      </c>
      <c r="N38" s="50">
        <v>4</v>
      </c>
      <c r="O38" s="50">
        <v>4</v>
      </c>
      <c r="P38" s="50">
        <v>4</v>
      </c>
      <c r="Q38" s="50">
        <v>4</v>
      </c>
      <c r="R38" s="50">
        <v>4</v>
      </c>
      <c r="S38" s="50">
        <v>4</v>
      </c>
      <c r="T38" s="50">
        <v>4</v>
      </c>
      <c r="U38" s="50">
        <v>4</v>
      </c>
      <c r="V38" s="50">
        <v>4</v>
      </c>
      <c r="W38" s="50">
        <v>4</v>
      </c>
      <c r="X38" s="50">
        <v>4</v>
      </c>
      <c r="Y38" s="50">
        <v>4</v>
      </c>
      <c r="Z38" s="50">
        <v>4</v>
      </c>
      <c r="AA38" s="50">
        <v>4</v>
      </c>
      <c r="AB38" s="50">
        <v>4</v>
      </c>
      <c r="AC38" s="50">
        <v>4</v>
      </c>
      <c r="AD38" s="50">
        <v>4</v>
      </c>
      <c r="AE38" s="50">
        <v>4</v>
      </c>
      <c r="AF38" s="50">
        <v>4</v>
      </c>
      <c r="AG38" s="55">
        <v>12</v>
      </c>
      <c r="AH38" s="52">
        <f t="shared" si="2"/>
        <v>4</v>
      </c>
      <c r="AI38" s="53">
        <f t="shared" si="3"/>
        <v>4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3.6</v>
      </c>
      <c r="C42" s="50">
        <v>3.6</v>
      </c>
      <c r="D42" s="50">
        <v>3.6</v>
      </c>
      <c r="E42" s="50">
        <v>3.6</v>
      </c>
      <c r="F42" s="50">
        <v>3.6</v>
      </c>
      <c r="G42" s="50">
        <v>3.6</v>
      </c>
      <c r="H42" s="50">
        <v>3.6</v>
      </c>
      <c r="I42" s="50">
        <v>3.6</v>
      </c>
      <c r="J42" s="50">
        <v>3.6</v>
      </c>
      <c r="K42" s="50">
        <v>3.6</v>
      </c>
      <c r="L42" s="50">
        <v>3.6</v>
      </c>
      <c r="M42" s="50">
        <v>3.6</v>
      </c>
      <c r="N42" s="50">
        <v>3.6</v>
      </c>
      <c r="O42" s="50">
        <v>3.6</v>
      </c>
      <c r="P42" s="50">
        <v>3.6</v>
      </c>
      <c r="Q42" s="50">
        <v>3.6</v>
      </c>
      <c r="R42" s="50">
        <v>3.6</v>
      </c>
      <c r="S42" s="50">
        <v>3.6</v>
      </c>
      <c r="T42" s="50">
        <v>3.6</v>
      </c>
      <c r="U42" s="50">
        <v>3.6</v>
      </c>
      <c r="V42" s="50">
        <v>3.6</v>
      </c>
      <c r="W42" s="50">
        <v>3.6</v>
      </c>
      <c r="X42" s="50">
        <v>3.6</v>
      </c>
      <c r="Y42" s="50">
        <v>3.6</v>
      </c>
      <c r="Z42" s="50">
        <v>3.6</v>
      </c>
      <c r="AA42" s="50">
        <v>3.6</v>
      </c>
      <c r="AB42" s="50">
        <v>3.6</v>
      </c>
      <c r="AC42" s="50">
        <v>3.6</v>
      </c>
      <c r="AD42" s="50">
        <v>3.6</v>
      </c>
      <c r="AE42" s="50">
        <v>3.6</v>
      </c>
      <c r="AF42" s="50">
        <v>3.6</v>
      </c>
      <c r="AG42" s="61">
        <v>11</v>
      </c>
      <c r="AH42" s="52">
        <f t="shared" si="2"/>
        <v>3.6</v>
      </c>
      <c r="AI42" s="53">
        <f t="shared" si="3"/>
        <v>3.6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>
        <v>3</v>
      </c>
      <c r="T43" s="50">
        <v>3</v>
      </c>
      <c r="U43" s="50">
        <v>3</v>
      </c>
      <c r="V43" s="50">
        <v>3</v>
      </c>
      <c r="W43" s="50">
        <v>3</v>
      </c>
      <c r="X43" s="50">
        <v>3</v>
      </c>
      <c r="Y43" s="50">
        <v>3</v>
      </c>
      <c r="Z43" s="50">
        <v>3</v>
      </c>
      <c r="AA43" s="50">
        <v>3</v>
      </c>
      <c r="AB43" s="50">
        <v>3</v>
      </c>
      <c r="AC43" s="50">
        <v>3</v>
      </c>
      <c r="AD43" s="50">
        <v>3</v>
      </c>
      <c r="AE43" s="50">
        <v>3</v>
      </c>
      <c r="AF43" s="50">
        <v>3</v>
      </c>
      <c r="AG43" s="61">
        <v>10</v>
      </c>
      <c r="AH43" s="52">
        <f t="shared" si="2"/>
        <v>3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150</v>
      </c>
      <c r="C46" s="63">
        <v>150</v>
      </c>
      <c r="D46" s="63">
        <v>150</v>
      </c>
      <c r="E46" s="63">
        <v>150</v>
      </c>
      <c r="F46" s="63">
        <v>150</v>
      </c>
      <c r="G46" s="63">
        <v>150</v>
      </c>
      <c r="H46" s="63">
        <v>150</v>
      </c>
      <c r="I46" s="63">
        <v>150</v>
      </c>
      <c r="J46" s="63">
        <v>150</v>
      </c>
      <c r="K46" s="63">
        <v>150</v>
      </c>
      <c r="L46" s="63">
        <v>150</v>
      </c>
      <c r="M46" s="63">
        <v>150</v>
      </c>
      <c r="N46" s="63">
        <v>150</v>
      </c>
      <c r="O46" s="63">
        <v>150</v>
      </c>
      <c r="P46" s="63">
        <v>150</v>
      </c>
      <c r="Q46" s="63">
        <v>150</v>
      </c>
      <c r="R46" s="63">
        <v>150</v>
      </c>
      <c r="S46" s="63">
        <v>150</v>
      </c>
      <c r="T46" s="63">
        <v>150</v>
      </c>
      <c r="U46" s="63">
        <v>150</v>
      </c>
      <c r="V46" s="63">
        <v>150</v>
      </c>
      <c r="W46" s="63">
        <v>150</v>
      </c>
      <c r="X46" s="63">
        <v>150</v>
      </c>
      <c r="Y46" s="63">
        <v>150</v>
      </c>
      <c r="Z46" s="63">
        <v>150</v>
      </c>
      <c r="AA46" s="63">
        <v>150</v>
      </c>
      <c r="AB46" s="63">
        <v>150</v>
      </c>
      <c r="AC46" s="63">
        <v>150</v>
      </c>
      <c r="AD46" s="63">
        <v>150</v>
      </c>
      <c r="AE46" s="63">
        <v>150</v>
      </c>
      <c r="AF46" s="63">
        <v>150</v>
      </c>
      <c r="AG46" s="61">
        <v>85</v>
      </c>
      <c r="AH46" s="52">
        <f t="shared" si="2"/>
        <v>150</v>
      </c>
      <c r="AI46" s="53">
        <f t="shared" si="3"/>
        <v>150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>SUM(B11:B46)</f>
        <v>454.3</v>
      </c>
      <c r="C48" s="67">
        <f t="shared" ref="C48:AF48" si="4">SUM(C11:C46)</f>
        <v>452.2</v>
      </c>
      <c r="D48" s="67">
        <f t="shared" si="4"/>
        <v>452.2</v>
      </c>
      <c r="E48" s="67">
        <f t="shared" si="4"/>
        <v>458.89999999999992</v>
      </c>
      <c r="F48" s="67">
        <f t="shared" si="4"/>
        <v>458.29999999999995</v>
      </c>
      <c r="G48" s="67">
        <f t="shared" si="4"/>
        <v>458.29999999999995</v>
      </c>
      <c r="H48" s="67">
        <f t="shared" si="4"/>
        <v>458.29999999999995</v>
      </c>
      <c r="I48" s="67">
        <f t="shared" si="4"/>
        <v>458.29999999999995</v>
      </c>
      <c r="J48" s="67">
        <f t="shared" si="4"/>
        <v>458.29999999999995</v>
      </c>
      <c r="K48" s="67">
        <f t="shared" si="4"/>
        <v>458.29999999999995</v>
      </c>
      <c r="L48" s="67">
        <f t="shared" si="4"/>
        <v>458.29999999999995</v>
      </c>
      <c r="M48" s="67">
        <f t="shared" si="4"/>
        <v>460.99999999999994</v>
      </c>
      <c r="N48" s="67">
        <f t="shared" si="4"/>
        <v>460.99999999999994</v>
      </c>
      <c r="O48" s="67">
        <f t="shared" si="4"/>
        <v>460.99999999999994</v>
      </c>
      <c r="P48" s="67">
        <f t="shared" si="4"/>
        <v>457.99999999999994</v>
      </c>
      <c r="Q48" s="67">
        <f t="shared" si="4"/>
        <v>457.99999999999994</v>
      </c>
      <c r="R48" s="67">
        <f t="shared" si="4"/>
        <v>457.99999999999994</v>
      </c>
      <c r="S48" s="67">
        <f t="shared" si="4"/>
        <v>457.99999999999994</v>
      </c>
      <c r="T48" s="67">
        <f t="shared" ref="T48:V48" si="5">SUM(T11:T46)</f>
        <v>457.99999999999994</v>
      </c>
      <c r="U48" s="67">
        <f t="shared" si="5"/>
        <v>457.99999999999994</v>
      </c>
      <c r="V48" s="67">
        <f t="shared" si="5"/>
        <v>457.99999999999994</v>
      </c>
      <c r="W48" s="67">
        <f t="shared" si="4"/>
        <v>457.99999999999994</v>
      </c>
      <c r="X48" s="67">
        <f t="shared" si="4"/>
        <v>457.99999999999994</v>
      </c>
      <c r="Y48" s="67">
        <f t="shared" si="4"/>
        <v>457.99999999999994</v>
      </c>
      <c r="Z48" s="67">
        <f t="shared" si="4"/>
        <v>457.99999999999994</v>
      </c>
      <c r="AA48" s="67">
        <v>431.8</v>
      </c>
      <c r="AB48" s="67">
        <f t="shared" si="4"/>
        <v>458.49999999999994</v>
      </c>
      <c r="AC48" s="67">
        <f t="shared" si="4"/>
        <v>477.49999999999994</v>
      </c>
      <c r="AD48" s="67">
        <f t="shared" si="4"/>
        <v>477.49999999999994</v>
      </c>
      <c r="AE48" s="67">
        <f t="shared" si="4"/>
        <v>477.49999999999994</v>
      </c>
      <c r="AF48" s="67">
        <f t="shared" si="4"/>
        <v>477.49999999999994</v>
      </c>
      <c r="AG48" s="68">
        <f t="shared" ref="AG48" si="6">SUM(AG12:AG46)</f>
        <v>875.68</v>
      </c>
      <c r="AH48" s="52">
        <f t="shared" si="2"/>
        <v>477.49999999999994</v>
      </c>
      <c r="AI48" s="53">
        <f t="shared" si="3"/>
        <v>431.8</v>
      </c>
      <c r="AK48" s="54"/>
    </row>
    <row r="49" spans="1:41" x14ac:dyDescent="0.25">
      <c r="A49" s="69" t="s">
        <v>57</v>
      </c>
      <c r="B49" s="50">
        <v>120</v>
      </c>
      <c r="C49" s="50">
        <v>70</v>
      </c>
      <c r="D49" s="50">
        <v>60</v>
      </c>
      <c r="E49" s="50">
        <v>25</v>
      </c>
      <c r="F49" s="50">
        <v>25</v>
      </c>
      <c r="G49" s="50">
        <v>25</v>
      </c>
      <c r="H49" s="50">
        <v>20</v>
      </c>
      <c r="I49" s="50">
        <v>20</v>
      </c>
      <c r="J49" s="50">
        <v>35</v>
      </c>
      <c r="K49" s="50">
        <v>20</v>
      </c>
      <c r="L49" s="50">
        <v>50</v>
      </c>
      <c r="M49" s="70">
        <v>50</v>
      </c>
      <c r="N49" s="70">
        <v>0</v>
      </c>
      <c r="O49" s="70">
        <v>0</v>
      </c>
      <c r="P49" s="70">
        <v>30</v>
      </c>
      <c r="Q49" s="70">
        <v>80</v>
      </c>
      <c r="R49" s="70">
        <v>80</v>
      </c>
      <c r="S49" s="50">
        <v>70</v>
      </c>
      <c r="T49" s="50">
        <v>70</v>
      </c>
      <c r="U49" s="50">
        <v>70</v>
      </c>
      <c r="V49" s="50">
        <v>70</v>
      </c>
      <c r="W49" s="50">
        <v>40</v>
      </c>
      <c r="X49" s="50">
        <v>40</v>
      </c>
      <c r="Y49" s="50">
        <v>190</v>
      </c>
      <c r="Z49" s="50">
        <v>190</v>
      </c>
      <c r="AA49" s="50">
        <v>240</v>
      </c>
      <c r="AB49" s="50">
        <v>150</v>
      </c>
      <c r="AC49" s="50">
        <v>150</v>
      </c>
      <c r="AD49" s="50">
        <v>140</v>
      </c>
      <c r="AE49" s="50">
        <v>60</v>
      </c>
      <c r="AF49" s="50">
        <v>40</v>
      </c>
      <c r="AG49" s="56">
        <v>456</v>
      </c>
      <c r="AH49" s="52">
        <f t="shared" si="2"/>
        <v>240</v>
      </c>
      <c r="AI49" s="53">
        <f t="shared" si="3"/>
        <v>0</v>
      </c>
      <c r="AK49" s="54"/>
    </row>
    <row r="50" spans="1:41" x14ac:dyDescent="0.25">
      <c r="A50" s="71" t="s">
        <v>58</v>
      </c>
      <c r="B50" s="72">
        <v>32</v>
      </c>
      <c r="C50" s="72">
        <v>32</v>
      </c>
      <c r="D50" s="72">
        <v>32</v>
      </c>
      <c r="E50" s="72">
        <v>32</v>
      </c>
      <c r="F50" s="72">
        <v>32</v>
      </c>
      <c r="G50" s="72">
        <v>32</v>
      </c>
      <c r="H50" s="72">
        <v>32</v>
      </c>
      <c r="I50" s="72">
        <v>32</v>
      </c>
      <c r="J50" s="72">
        <v>32</v>
      </c>
      <c r="K50" s="72">
        <v>32</v>
      </c>
      <c r="L50" s="72">
        <v>32</v>
      </c>
      <c r="M50" s="72">
        <v>32</v>
      </c>
      <c r="N50" s="72">
        <v>32</v>
      </c>
      <c r="O50" s="72">
        <v>32</v>
      </c>
      <c r="P50" s="72">
        <v>32</v>
      </c>
      <c r="Q50" s="72">
        <v>32</v>
      </c>
      <c r="R50" s="72">
        <v>32</v>
      </c>
      <c r="S50" s="72">
        <v>32</v>
      </c>
      <c r="T50" s="72">
        <v>32</v>
      </c>
      <c r="U50" s="72">
        <v>32</v>
      </c>
      <c r="V50" s="72">
        <v>32</v>
      </c>
      <c r="W50" s="72">
        <v>32</v>
      </c>
      <c r="X50" s="72">
        <v>32</v>
      </c>
      <c r="Y50" s="72">
        <v>30</v>
      </c>
      <c r="Z50" s="72">
        <v>30</v>
      </c>
      <c r="AA50" s="72">
        <v>30</v>
      </c>
      <c r="AB50" s="72">
        <v>30</v>
      </c>
      <c r="AC50" s="72">
        <v>30</v>
      </c>
      <c r="AD50" s="72">
        <v>30</v>
      </c>
      <c r="AE50" s="72">
        <v>30</v>
      </c>
      <c r="AF50" s="72">
        <v>37</v>
      </c>
      <c r="AG50" s="61">
        <v>60</v>
      </c>
      <c r="AH50" s="52">
        <f t="shared" si="2"/>
        <v>37</v>
      </c>
      <c r="AI50" s="53">
        <f t="shared" si="3"/>
        <v>30</v>
      </c>
      <c r="AK50" s="54"/>
    </row>
    <row r="51" spans="1:41" ht="15.75" thickBot="1" x14ac:dyDescent="0.3">
      <c r="A51" s="73" t="s">
        <v>59</v>
      </c>
      <c r="B51" s="74">
        <v>16.100000000000001</v>
      </c>
      <c r="C51" s="74">
        <v>16.100000000000001</v>
      </c>
      <c r="D51" s="74">
        <v>16.100000000000001</v>
      </c>
      <c r="E51" s="74">
        <v>16.2</v>
      </c>
      <c r="F51" s="74">
        <v>16.100000000000001</v>
      </c>
      <c r="G51" s="74">
        <v>16.100000000000001</v>
      </c>
      <c r="H51" s="74">
        <v>16.2</v>
      </c>
      <c r="I51" s="74">
        <v>16.100000000000001</v>
      </c>
      <c r="J51" s="74">
        <v>14.2</v>
      </c>
      <c r="K51" s="74">
        <v>14.2</v>
      </c>
      <c r="L51" s="74">
        <v>14.2</v>
      </c>
      <c r="M51" s="74">
        <v>14.1</v>
      </c>
      <c r="N51" s="74">
        <v>14.1</v>
      </c>
      <c r="O51" s="74">
        <v>14.1</v>
      </c>
      <c r="P51" s="74">
        <v>14.1</v>
      </c>
      <c r="Q51" s="74">
        <v>14.1</v>
      </c>
      <c r="R51" s="74">
        <v>14.1</v>
      </c>
      <c r="S51" s="74">
        <v>14.1</v>
      </c>
      <c r="T51" s="74">
        <v>14.1</v>
      </c>
      <c r="U51" s="74">
        <v>14.1</v>
      </c>
      <c r="V51" s="74">
        <v>14.1</v>
      </c>
      <c r="W51" s="74">
        <v>14.1</v>
      </c>
      <c r="X51" s="74">
        <v>14.1</v>
      </c>
      <c r="Y51" s="74">
        <v>14.2</v>
      </c>
      <c r="Z51" s="74">
        <v>14.2</v>
      </c>
      <c r="AA51" s="74">
        <v>14.2</v>
      </c>
      <c r="AB51" s="74">
        <v>14.2</v>
      </c>
      <c r="AC51" s="74">
        <v>14.2</v>
      </c>
      <c r="AD51" s="74">
        <v>14.2</v>
      </c>
      <c r="AE51" s="74">
        <v>14.2</v>
      </c>
      <c r="AF51" s="74">
        <v>12.7</v>
      </c>
      <c r="AG51" s="75">
        <v>22.1</v>
      </c>
      <c r="AH51" s="52">
        <f t="shared" si="2"/>
        <v>16.2</v>
      </c>
      <c r="AI51" s="53">
        <f t="shared" si="3"/>
        <v>12.7</v>
      </c>
      <c r="AK51" s="54"/>
    </row>
    <row r="52" spans="1:41" ht="15.75" thickBot="1" x14ac:dyDescent="0.3">
      <c r="A52" s="76" t="s">
        <v>60</v>
      </c>
      <c r="B52" s="67">
        <f t="shared" ref="B52:AG52" si="7">SUM(B49:B51)</f>
        <v>168.1</v>
      </c>
      <c r="C52" s="67">
        <f t="shared" si="7"/>
        <v>118.1</v>
      </c>
      <c r="D52" s="67">
        <f t="shared" si="7"/>
        <v>108.1</v>
      </c>
      <c r="E52" s="67">
        <f t="shared" si="7"/>
        <v>73.2</v>
      </c>
      <c r="F52" s="67">
        <f t="shared" si="7"/>
        <v>73.099999999999994</v>
      </c>
      <c r="G52" s="67">
        <f t="shared" si="7"/>
        <v>73.099999999999994</v>
      </c>
      <c r="H52" s="67">
        <f t="shared" si="7"/>
        <v>68.2</v>
      </c>
      <c r="I52" s="67">
        <f t="shared" si="7"/>
        <v>68.099999999999994</v>
      </c>
      <c r="J52" s="67">
        <f t="shared" si="7"/>
        <v>81.2</v>
      </c>
      <c r="K52" s="67">
        <f t="shared" si="7"/>
        <v>66.2</v>
      </c>
      <c r="L52" s="67">
        <f t="shared" si="7"/>
        <v>96.2</v>
      </c>
      <c r="M52" s="67">
        <f t="shared" si="7"/>
        <v>96.1</v>
      </c>
      <c r="N52" s="67">
        <f t="shared" si="7"/>
        <v>46.1</v>
      </c>
      <c r="O52" s="67">
        <f t="shared" si="7"/>
        <v>46.1</v>
      </c>
      <c r="P52" s="67">
        <f t="shared" si="7"/>
        <v>76.099999999999994</v>
      </c>
      <c r="Q52" s="67">
        <f t="shared" si="7"/>
        <v>126.1</v>
      </c>
      <c r="R52" s="67">
        <f t="shared" si="7"/>
        <v>126.1</v>
      </c>
      <c r="S52" s="67">
        <f t="shared" si="7"/>
        <v>116.1</v>
      </c>
      <c r="T52" s="67">
        <f t="shared" ref="T52:V52" si="8">SUM(T49:T51)</f>
        <v>116.1</v>
      </c>
      <c r="U52" s="67">
        <f t="shared" si="8"/>
        <v>116.1</v>
      </c>
      <c r="V52" s="67">
        <f t="shared" si="8"/>
        <v>116.1</v>
      </c>
      <c r="W52" s="67">
        <f t="shared" si="7"/>
        <v>86.1</v>
      </c>
      <c r="X52" s="67">
        <f t="shared" si="7"/>
        <v>86.1</v>
      </c>
      <c r="Y52" s="67">
        <f t="shared" si="7"/>
        <v>234.2</v>
      </c>
      <c r="Z52" s="67">
        <f t="shared" si="7"/>
        <v>234.2</v>
      </c>
      <c r="AA52" s="67">
        <v>264.2</v>
      </c>
      <c r="AB52" s="67">
        <f t="shared" si="7"/>
        <v>194.2</v>
      </c>
      <c r="AC52" s="67">
        <f t="shared" si="7"/>
        <v>194.2</v>
      </c>
      <c r="AD52" s="67">
        <f t="shared" si="7"/>
        <v>184.2</v>
      </c>
      <c r="AE52" s="67">
        <f t="shared" si="7"/>
        <v>104.2</v>
      </c>
      <c r="AF52" s="67">
        <f t="shared" si="7"/>
        <v>89.7</v>
      </c>
      <c r="AG52" s="68">
        <f t="shared" si="7"/>
        <v>538.1</v>
      </c>
      <c r="AH52" s="52">
        <f t="shared" si="2"/>
        <v>264.2</v>
      </c>
      <c r="AI52" s="53">
        <f t="shared" si="3"/>
        <v>46.1</v>
      </c>
      <c r="AK52" s="54"/>
    </row>
    <row r="53" spans="1:41" x14ac:dyDescent="0.25">
      <c r="A53" s="49" t="s">
        <v>61</v>
      </c>
      <c r="B53" s="50">
        <v>62.3</v>
      </c>
      <c r="C53" s="50">
        <v>66.3</v>
      </c>
      <c r="D53" s="50">
        <v>70</v>
      </c>
      <c r="E53" s="50">
        <v>71.5</v>
      </c>
      <c r="F53" s="50">
        <v>71.2</v>
      </c>
      <c r="G53" s="50">
        <v>65</v>
      </c>
      <c r="H53" s="50">
        <v>66.2</v>
      </c>
      <c r="I53" s="50">
        <v>45.7</v>
      </c>
      <c r="J53" s="50">
        <v>30.8</v>
      </c>
      <c r="K53" s="50">
        <v>30.5</v>
      </c>
      <c r="L53" s="50">
        <v>30.5</v>
      </c>
      <c r="M53" s="50">
        <v>30.6</v>
      </c>
      <c r="N53" s="50">
        <v>30.6</v>
      </c>
      <c r="O53" s="50">
        <v>30</v>
      </c>
      <c r="P53" s="50">
        <v>60</v>
      </c>
      <c r="Q53" s="50">
        <v>80</v>
      </c>
      <c r="R53" s="50">
        <v>97.1</v>
      </c>
      <c r="S53" s="50">
        <v>90</v>
      </c>
      <c r="T53" s="50">
        <v>92</v>
      </c>
      <c r="U53" s="50">
        <v>96</v>
      </c>
      <c r="V53" s="50">
        <v>96.5</v>
      </c>
      <c r="W53" s="50">
        <v>81.3</v>
      </c>
      <c r="X53" s="50">
        <v>81.3</v>
      </c>
      <c r="Y53" s="50">
        <v>111.9</v>
      </c>
      <c r="Z53" s="50">
        <v>111.9</v>
      </c>
      <c r="AA53" s="50">
        <v>122.2</v>
      </c>
      <c r="AB53" s="50">
        <v>121.7</v>
      </c>
      <c r="AC53" s="50">
        <v>121.7</v>
      </c>
      <c r="AD53" s="50">
        <v>121.7</v>
      </c>
      <c r="AE53" s="50">
        <v>109</v>
      </c>
      <c r="AF53" s="50">
        <v>54</v>
      </c>
      <c r="AG53" s="56">
        <v>144</v>
      </c>
      <c r="AH53" s="52">
        <f t="shared" si="2"/>
        <v>122.2</v>
      </c>
      <c r="AI53" s="53">
        <f t="shared" si="3"/>
        <v>30</v>
      </c>
      <c r="AK53" s="54"/>
    </row>
    <row r="54" spans="1:41" x14ac:dyDescent="0.25">
      <c r="A54" s="60" t="s">
        <v>62</v>
      </c>
      <c r="B54" s="72">
        <v>34.799999999999997</v>
      </c>
      <c r="C54" s="72">
        <v>22</v>
      </c>
      <c r="D54" s="72">
        <v>22</v>
      </c>
      <c r="E54" s="72">
        <v>22</v>
      </c>
      <c r="F54" s="72">
        <v>22</v>
      </c>
      <c r="G54" s="72">
        <v>20.8</v>
      </c>
      <c r="H54" s="72">
        <v>20.7</v>
      </c>
      <c r="I54" s="72">
        <v>19.8</v>
      </c>
      <c r="J54" s="72">
        <v>19.899999999999999</v>
      </c>
      <c r="K54" s="72">
        <v>19.899999999999999</v>
      </c>
      <c r="L54" s="72">
        <v>19.899999999999999</v>
      </c>
      <c r="M54" s="72">
        <v>19</v>
      </c>
      <c r="N54" s="72">
        <v>19</v>
      </c>
      <c r="O54" s="72">
        <v>21.4</v>
      </c>
      <c r="P54" s="72">
        <v>49.8</v>
      </c>
      <c r="Q54" s="72">
        <v>51</v>
      </c>
      <c r="R54" s="72">
        <v>65</v>
      </c>
      <c r="S54" s="72">
        <v>59</v>
      </c>
      <c r="T54" s="72">
        <v>59</v>
      </c>
      <c r="U54" s="72">
        <v>59</v>
      </c>
      <c r="V54" s="72">
        <v>59</v>
      </c>
      <c r="W54" s="50">
        <v>34.299999999999997</v>
      </c>
      <c r="X54" s="50">
        <v>23</v>
      </c>
      <c r="Y54" s="50">
        <v>24.1</v>
      </c>
      <c r="Z54" s="50">
        <v>35</v>
      </c>
      <c r="AA54" s="50">
        <v>50.4</v>
      </c>
      <c r="AB54" s="72">
        <v>50</v>
      </c>
      <c r="AC54" s="72">
        <v>50</v>
      </c>
      <c r="AD54" s="72">
        <v>25</v>
      </c>
      <c r="AE54" s="72">
        <v>25</v>
      </c>
      <c r="AF54" s="72">
        <v>25</v>
      </c>
      <c r="AG54" s="61">
        <v>70</v>
      </c>
      <c r="AH54" s="52">
        <f t="shared" si="2"/>
        <v>65</v>
      </c>
      <c r="AI54" s="53">
        <f t="shared" si="3"/>
        <v>19</v>
      </c>
      <c r="AK54" s="54"/>
    </row>
    <row r="55" spans="1:41" x14ac:dyDescent="0.25">
      <c r="A55" s="60" t="s">
        <v>63</v>
      </c>
      <c r="B55" s="72">
        <v>60</v>
      </c>
      <c r="C55" s="72">
        <v>67</v>
      </c>
      <c r="D55" s="72">
        <v>67</v>
      </c>
      <c r="E55" s="72">
        <v>40</v>
      </c>
      <c r="F55" s="72">
        <v>40.200000000000003</v>
      </c>
      <c r="G55" s="72">
        <v>40</v>
      </c>
      <c r="H55" s="72">
        <v>33.9</v>
      </c>
      <c r="I55" s="72">
        <v>31.9</v>
      </c>
      <c r="J55" s="72">
        <v>33.299999999999997</v>
      </c>
      <c r="K55" s="72">
        <v>52.7</v>
      </c>
      <c r="L55" s="72">
        <v>52.7</v>
      </c>
      <c r="M55" s="72">
        <v>52.9</v>
      </c>
      <c r="N55" s="72">
        <v>32</v>
      </c>
      <c r="O55" s="72">
        <v>16.7</v>
      </c>
      <c r="P55" s="72">
        <v>16</v>
      </c>
      <c r="Q55" s="72">
        <v>15.2</v>
      </c>
      <c r="R55" s="72">
        <v>15.2</v>
      </c>
      <c r="S55" s="72">
        <v>22</v>
      </c>
      <c r="T55" s="72">
        <v>32</v>
      </c>
      <c r="U55" s="72">
        <v>36</v>
      </c>
      <c r="V55" s="72">
        <v>34</v>
      </c>
      <c r="W55" s="50">
        <v>22</v>
      </c>
      <c r="X55" s="50">
        <v>21</v>
      </c>
      <c r="Y55" s="50">
        <v>44.1</v>
      </c>
      <c r="Z55" s="50">
        <v>44.1</v>
      </c>
      <c r="AA55" s="50">
        <v>68.5</v>
      </c>
      <c r="AB55" s="72">
        <v>69</v>
      </c>
      <c r="AC55" s="72">
        <v>69</v>
      </c>
      <c r="AD55" s="72">
        <v>60.3</v>
      </c>
      <c r="AE55" s="72">
        <v>32</v>
      </c>
      <c r="AF55" s="72">
        <v>33</v>
      </c>
      <c r="AG55" s="61">
        <v>69</v>
      </c>
      <c r="AH55" s="52">
        <f t="shared" si="2"/>
        <v>69</v>
      </c>
      <c r="AI55" s="53">
        <f t="shared" si="3"/>
        <v>15.2</v>
      </c>
      <c r="AK55" s="54"/>
    </row>
    <row r="56" spans="1:41" x14ac:dyDescent="0.25">
      <c r="A56" s="60" t="s">
        <v>64</v>
      </c>
      <c r="B56" s="72">
        <v>47.4</v>
      </c>
      <c r="C56" s="72">
        <v>50.2</v>
      </c>
      <c r="D56" s="72">
        <v>50.2</v>
      </c>
      <c r="E56" s="63">
        <v>50</v>
      </c>
      <c r="F56" s="63">
        <v>52.4</v>
      </c>
      <c r="G56" s="63">
        <v>52.9</v>
      </c>
      <c r="H56" s="63">
        <v>51.4</v>
      </c>
      <c r="I56" s="63">
        <v>51.4</v>
      </c>
      <c r="J56" s="63">
        <v>50.4</v>
      </c>
      <c r="K56" s="63">
        <v>47.4</v>
      </c>
      <c r="L56" s="63">
        <v>47.4</v>
      </c>
      <c r="M56" s="72">
        <v>49.1</v>
      </c>
      <c r="N56" s="72">
        <v>49.1</v>
      </c>
      <c r="O56" s="72">
        <v>49</v>
      </c>
      <c r="P56" s="72">
        <v>46.4</v>
      </c>
      <c r="Q56" s="72">
        <v>46.4</v>
      </c>
      <c r="R56" s="72">
        <v>46.4</v>
      </c>
      <c r="S56" s="72">
        <v>46.4</v>
      </c>
      <c r="T56" s="72">
        <v>46.4</v>
      </c>
      <c r="U56" s="72">
        <v>46.4</v>
      </c>
      <c r="V56" s="72">
        <v>46.4</v>
      </c>
      <c r="W56" s="72">
        <v>45.6</v>
      </c>
      <c r="X56" s="72">
        <v>45.6</v>
      </c>
      <c r="Y56" s="50">
        <v>45.3</v>
      </c>
      <c r="Z56" s="50">
        <v>45.3</v>
      </c>
      <c r="AA56" s="50">
        <v>45.6</v>
      </c>
      <c r="AB56" s="50">
        <v>45.6</v>
      </c>
      <c r="AC56" s="50">
        <v>45.6</v>
      </c>
      <c r="AD56" s="50">
        <v>44.3</v>
      </c>
      <c r="AE56" s="50">
        <v>44.3</v>
      </c>
      <c r="AF56" s="72">
        <v>44.3</v>
      </c>
      <c r="AG56" s="61">
        <v>60</v>
      </c>
      <c r="AH56" s="52">
        <f t="shared" si="2"/>
        <v>52.9</v>
      </c>
      <c r="AI56" s="53">
        <f t="shared" si="3"/>
        <v>44.3</v>
      </c>
      <c r="AK56" s="54"/>
    </row>
    <row r="57" spans="1:41" x14ac:dyDescent="0.25">
      <c r="A57" s="60" t="s">
        <v>65</v>
      </c>
      <c r="B57" s="72">
        <v>15</v>
      </c>
      <c r="C57" s="72">
        <v>15</v>
      </c>
      <c r="D57" s="72">
        <v>15</v>
      </c>
      <c r="E57" s="63">
        <v>14.8</v>
      </c>
      <c r="F57" s="63">
        <v>14.9</v>
      </c>
      <c r="G57" s="63">
        <v>20</v>
      </c>
      <c r="H57" s="63">
        <v>20</v>
      </c>
      <c r="I57" s="63">
        <v>12.8</v>
      </c>
      <c r="J57" s="63">
        <v>0</v>
      </c>
      <c r="K57" s="63">
        <v>0</v>
      </c>
      <c r="L57" s="63">
        <v>0</v>
      </c>
      <c r="M57" s="72">
        <v>0</v>
      </c>
      <c r="N57" s="72">
        <v>0</v>
      </c>
      <c r="O57" s="72">
        <v>10.4</v>
      </c>
      <c r="P57" s="72">
        <v>19.3</v>
      </c>
      <c r="Q57" s="72">
        <v>24</v>
      </c>
      <c r="R57" s="72">
        <v>24</v>
      </c>
      <c r="S57" s="72">
        <v>24</v>
      </c>
      <c r="T57" s="72">
        <v>24</v>
      </c>
      <c r="U57" s="72">
        <v>24</v>
      </c>
      <c r="V57" s="72">
        <v>24</v>
      </c>
      <c r="W57" s="72">
        <v>0</v>
      </c>
      <c r="X57" s="72">
        <v>0</v>
      </c>
      <c r="Y57" s="50">
        <v>0</v>
      </c>
      <c r="Z57" s="50">
        <v>0</v>
      </c>
      <c r="AA57" s="50">
        <v>15.2</v>
      </c>
      <c r="AB57" s="50">
        <v>20.6</v>
      </c>
      <c r="AC57" s="50">
        <v>20.6</v>
      </c>
      <c r="AD57" s="50">
        <v>10</v>
      </c>
      <c r="AE57" s="50">
        <v>10</v>
      </c>
      <c r="AF57" s="72">
        <v>9</v>
      </c>
      <c r="AG57" s="61">
        <v>30</v>
      </c>
      <c r="AH57" s="52">
        <f t="shared" si="2"/>
        <v>24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0.7</v>
      </c>
      <c r="J58" s="50">
        <v>1.8</v>
      </c>
      <c r="K58" s="50">
        <v>3.4</v>
      </c>
      <c r="L58" s="50">
        <v>6.2</v>
      </c>
      <c r="M58" s="72">
        <v>6.2</v>
      </c>
      <c r="N58" s="72">
        <v>6.2</v>
      </c>
      <c r="O58" s="72">
        <v>16.7</v>
      </c>
      <c r="P58" s="72">
        <v>17</v>
      </c>
      <c r="Q58" s="72">
        <v>17</v>
      </c>
      <c r="R58" s="72">
        <v>17</v>
      </c>
      <c r="S58" s="72">
        <v>17</v>
      </c>
      <c r="T58" s="72">
        <v>17</v>
      </c>
      <c r="U58" s="72">
        <v>17</v>
      </c>
      <c r="V58" s="72">
        <v>8</v>
      </c>
      <c r="W58" s="72">
        <v>0</v>
      </c>
      <c r="X58" s="72">
        <v>0</v>
      </c>
      <c r="Y58" s="72">
        <v>0</v>
      </c>
      <c r="Z58" s="72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17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15</v>
      </c>
      <c r="C59" s="72">
        <v>15</v>
      </c>
      <c r="D59" s="72">
        <v>15</v>
      </c>
      <c r="E59" s="72">
        <v>15</v>
      </c>
      <c r="F59" s="72">
        <v>15</v>
      </c>
      <c r="G59" s="72">
        <v>15</v>
      </c>
      <c r="H59" s="72">
        <v>15</v>
      </c>
      <c r="I59" s="72">
        <v>15</v>
      </c>
      <c r="J59" s="72">
        <v>15</v>
      </c>
      <c r="K59" s="72">
        <v>15</v>
      </c>
      <c r="L59" s="72">
        <v>15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15</v>
      </c>
      <c r="S59" s="72">
        <v>15</v>
      </c>
      <c r="T59" s="72">
        <v>15</v>
      </c>
      <c r="U59" s="72">
        <v>15</v>
      </c>
      <c r="V59" s="72">
        <v>15</v>
      </c>
      <c r="W59" s="72">
        <v>15</v>
      </c>
      <c r="X59" s="72">
        <v>15</v>
      </c>
      <c r="Y59" s="72">
        <v>15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15</v>
      </c>
      <c r="AI59" s="53">
        <f t="shared" si="3"/>
        <v>15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7.4</v>
      </c>
      <c r="C61" s="72">
        <v>7.4</v>
      </c>
      <c r="D61" s="72">
        <v>7.4</v>
      </c>
      <c r="E61" s="72">
        <v>7.4</v>
      </c>
      <c r="F61" s="72">
        <v>7.4</v>
      </c>
      <c r="G61" s="72">
        <v>7.4</v>
      </c>
      <c r="H61" s="72">
        <v>7.4</v>
      </c>
      <c r="I61" s="72">
        <v>7.4</v>
      </c>
      <c r="J61" s="72">
        <v>7.4</v>
      </c>
      <c r="K61" s="72">
        <v>7.4</v>
      </c>
      <c r="L61" s="72">
        <v>7.4</v>
      </c>
      <c r="M61" s="72">
        <v>7.4</v>
      </c>
      <c r="N61" s="72">
        <v>7.4</v>
      </c>
      <c r="O61" s="72">
        <v>13.1</v>
      </c>
      <c r="P61" s="72">
        <v>11.5</v>
      </c>
      <c r="Q61" s="72">
        <v>11.5</v>
      </c>
      <c r="R61" s="72">
        <v>11.5</v>
      </c>
      <c r="S61" s="72">
        <v>11.5</v>
      </c>
      <c r="T61" s="72">
        <v>11.5</v>
      </c>
      <c r="U61" s="72">
        <v>11.5</v>
      </c>
      <c r="V61" s="72">
        <v>11.5</v>
      </c>
      <c r="W61" s="72">
        <v>11.5</v>
      </c>
      <c r="X61" s="72">
        <v>11.5</v>
      </c>
      <c r="Y61" s="72">
        <v>11.5</v>
      </c>
      <c r="Z61" s="72">
        <v>11.5</v>
      </c>
      <c r="AA61" s="72">
        <v>11.5</v>
      </c>
      <c r="AB61" s="72">
        <v>11.5</v>
      </c>
      <c r="AC61" s="72">
        <v>11.5</v>
      </c>
      <c r="AD61" s="72">
        <v>11.5</v>
      </c>
      <c r="AE61" s="72">
        <v>11.5</v>
      </c>
      <c r="AF61" s="72">
        <v>11.5</v>
      </c>
      <c r="AG61" s="61">
        <v>14.1</v>
      </c>
      <c r="AH61" s="52">
        <f t="shared" si="2"/>
        <v>13.1</v>
      </c>
      <c r="AI61" s="53">
        <f t="shared" si="3"/>
        <v>7.4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6</v>
      </c>
      <c r="C62" s="72">
        <v>6</v>
      </c>
      <c r="D62" s="72">
        <v>6</v>
      </c>
      <c r="E62" s="72">
        <v>6</v>
      </c>
      <c r="F62" s="72">
        <v>6</v>
      </c>
      <c r="G62" s="72">
        <v>6</v>
      </c>
      <c r="H62" s="72">
        <v>6</v>
      </c>
      <c r="I62" s="72">
        <v>6</v>
      </c>
      <c r="J62" s="72">
        <v>6</v>
      </c>
      <c r="K62" s="72">
        <v>6</v>
      </c>
      <c r="L62" s="72">
        <v>6</v>
      </c>
      <c r="M62" s="72">
        <v>6</v>
      </c>
      <c r="N62" s="72">
        <v>6</v>
      </c>
      <c r="O62" s="72">
        <v>6</v>
      </c>
      <c r="P62" s="72">
        <v>6</v>
      </c>
      <c r="Q62" s="72">
        <v>6</v>
      </c>
      <c r="R62" s="72">
        <v>6</v>
      </c>
      <c r="S62" s="72">
        <v>6</v>
      </c>
      <c r="T62" s="72">
        <v>6</v>
      </c>
      <c r="U62" s="72">
        <v>6</v>
      </c>
      <c r="V62" s="72">
        <v>6</v>
      </c>
      <c r="W62" s="72">
        <v>6</v>
      </c>
      <c r="X62" s="72">
        <v>6</v>
      </c>
      <c r="Y62" s="72">
        <v>6</v>
      </c>
      <c r="Z62" s="72">
        <v>6</v>
      </c>
      <c r="AA62" s="72">
        <v>6</v>
      </c>
      <c r="AB62" s="72">
        <v>6</v>
      </c>
      <c r="AC62" s="72">
        <v>6</v>
      </c>
      <c r="AD62" s="72">
        <v>6</v>
      </c>
      <c r="AE62" s="72">
        <v>6</v>
      </c>
      <c r="AF62" s="72">
        <v>6</v>
      </c>
      <c r="AG62" s="61">
        <v>14</v>
      </c>
      <c r="AH62" s="52">
        <f t="shared" si="2"/>
        <v>6</v>
      </c>
      <c r="AI62" s="53">
        <f t="shared" si="3"/>
        <v>6</v>
      </c>
      <c r="AK62" s="54"/>
    </row>
    <row r="63" spans="1:41" x14ac:dyDescent="0.25">
      <c r="A63" s="60" t="s">
        <v>71</v>
      </c>
      <c r="B63" s="72">
        <v>4.0999999999999996</v>
      </c>
      <c r="C63" s="72">
        <v>4.0999999999999996</v>
      </c>
      <c r="D63" s="72">
        <v>4.0999999999999996</v>
      </c>
      <c r="E63" s="72">
        <v>4.0999999999999996</v>
      </c>
      <c r="F63" s="72">
        <v>4.0999999999999996</v>
      </c>
      <c r="G63" s="72">
        <v>4.0999999999999996</v>
      </c>
      <c r="H63" s="72">
        <v>4.0999999999999996</v>
      </c>
      <c r="I63" s="72">
        <v>4.0999999999999996</v>
      </c>
      <c r="J63" s="72">
        <v>4.0999999999999996</v>
      </c>
      <c r="K63" s="72">
        <v>4.0999999999999996</v>
      </c>
      <c r="L63" s="72">
        <v>4.0999999999999996</v>
      </c>
      <c r="M63" s="72">
        <v>4.0999999999999996</v>
      </c>
      <c r="N63" s="72">
        <v>4.0999999999999996</v>
      </c>
      <c r="O63" s="72">
        <v>4.0999999999999996</v>
      </c>
      <c r="P63" s="72">
        <v>4.0999999999999996</v>
      </c>
      <c r="Q63" s="72">
        <v>4.0999999999999996</v>
      </c>
      <c r="R63" s="72">
        <v>4.0999999999999996</v>
      </c>
      <c r="S63" s="72">
        <v>4.0999999999999996</v>
      </c>
      <c r="T63" s="72">
        <v>4.0999999999999996</v>
      </c>
      <c r="U63" s="72">
        <v>4.0999999999999996</v>
      </c>
      <c r="V63" s="72">
        <v>4.0999999999999996</v>
      </c>
      <c r="W63" s="72">
        <v>4.0999999999999996</v>
      </c>
      <c r="X63" s="72">
        <v>4.0999999999999996</v>
      </c>
      <c r="Y63" s="72">
        <v>4.0999999999999996</v>
      </c>
      <c r="Z63" s="72">
        <v>4.0999999999999996</v>
      </c>
      <c r="AA63" s="72">
        <v>4.0999999999999996</v>
      </c>
      <c r="AB63" s="72">
        <v>4.0999999999999996</v>
      </c>
      <c r="AC63" s="72">
        <v>4.0999999999999996</v>
      </c>
      <c r="AD63" s="72">
        <v>4.0999999999999996</v>
      </c>
      <c r="AE63" s="72">
        <v>4.0999999999999996</v>
      </c>
      <c r="AF63" s="72">
        <v>4.0999999999999996</v>
      </c>
      <c r="AG63" s="61">
        <v>10.050000000000001</v>
      </c>
      <c r="AH63" s="52">
        <f t="shared" si="2"/>
        <v>4.0999999999999996</v>
      </c>
      <c r="AI63" s="53">
        <f t="shared" si="3"/>
        <v>4.0999999999999996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:AG66" si="9">SUM(B53:B65)</f>
        <v>257.54000000000002</v>
      </c>
      <c r="C66" s="67">
        <f t="shared" si="9"/>
        <v>258.54000000000002</v>
      </c>
      <c r="D66" s="67">
        <f t="shared" si="9"/>
        <v>262.24</v>
      </c>
      <c r="E66" s="67">
        <f t="shared" si="9"/>
        <v>236.34</v>
      </c>
      <c r="F66" s="67">
        <f t="shared" si="9"/>
        <v>238.74</v>
      </c>
      <c r="G66" s="67">
        <f t="shared" si="9"/>
        <v>236.73999999999998</v>
      </c>
      <c r="H66" s="67">
        <f t="shared" si="9"/>
        <v>230.24</v>
      </c>
      <c r="I66" s="67">
        <f t="shared" si="9"/>
        <v>200.34</v>
      </c>
      <c r="J66" s="67">
        <f t="shared" si="9"/>
        <v>174.24</v>
      </c>
      <c r="K66" s="67">
        <f t="shared" si="9"/>
        <v>191.94</v>
      </c>
      <c r="L66" s="67">
        <f t="shared" si="9"/>
        <v>194.73999999999998</v>
      </c>
      <c r="M66" s="67">
        <f t="shared" si="9"/>
        <v>195.83999999999997</v>
      </c>
      <c r="N66" s="67">
        <f t="shared" si="9"/>
        <v>174.93999999999997</v>
      </c>
      <c r="O66" s="67">
        <f t="shared" si="9"/>
        <v>187.93999999999997</v>
      </c>
      <c r="P66" s="67">
        <f>SUM(P53:P65)</f>
        <v>250.64</v>
      </c>
      <c r="Q66" s="67">
        <f t="shared" si="9"/>
        <v>275.74000000000007</v>
      </c>
      <c r="R66" s="67">
        <f t="shared" si="9"/>
        <v>306.84000000000003</v>
      </c>
      <c r="S66" s="67">
        <f t="shared" si="9"/>
        <v>300.54000000000002</v>
      </c>
      <c r="T66" s="67">
        <f t="shared" ref="T66:V66" si="10">SUM(T53:T65)</f>
        <v>312.54000000000002</v>
      </c>
      <c r="U66" s="67">
        <f t="shared" si="10"/>
        <v>320.54000000000002</v>
      </c>
      <c r="V66" s="67">
        <f t="shared" si="10"/>
        <v>310.04000000000002</v>
      </c>
      <c r="W66" s="67">
        <f t="shared" si="9"/>
        <v>225.33999999999997</v>
      </c>
      <c r="X66" s="67">
        <f t="shared" si="9"/>
        <v>213.04</v>
      </c>
      <c r="Y66" s="67">
        <f t="shared" si="9"/>
        <v>267.54000000000002</v>
      </c>
      <c r="Z66" s="67">
        <f t="shared" si="9"/>
        <v>278.44000000000005</v>
      </c>
      <c r="AA66" s="67">
        <v>343.94000000000005</v>
      </c>
      <c r="AB66" s="67">
        <f t="shared" si="9"/>
        <v>349.04000000000008</v>
      </c>
      <c r="AC66" s="67">
        <f t="shared" si="9"/>
        <v>349.04000000000008</v>
      </c>
      <c r="AD66" s="67">
        <f t="shared" si="9"/>
        <v>303.44000000000005</v>
      </c>
      <c r="AE66" s="67">
        <f t="shared" si="9"/>
        <v>262.44000000000005</v>
      </c>
      <c r="AF66" s="67">
        <f t="shared" si="9"/>
        <v>207.44</v>
      </c>
      <c r="AG66" s="68">
        <f t="shared" si="9"/>
        <v>489.91</v>
      </c>
      <c r="AH66" s="52">
        <f t="shared" si="2"/>
        <v>349.04000000000008</v>
      </c>
      <c r="AI66" s="53">
        <f t="shared" si="3"/>
        <v>174.24</v>
      </c>
      <c r="AK66" s="54"/>
    </row>
    <row r="67" spans="1:40" x14ac:dyDescent="0.25">
      <c r="A67" s="49" t="s">
        <v>75</v>
      </c>
      <c r="B67" s="50">
        <v>20</v>
      </c>
      <c r="C67" s="50">
        <v>14</v>
      </c>
      <c r="D67" s="50">
        <v>14</v>
      </c>
      <c r="E67" s="50">
        <v>0</v>
      </c>
      <c r="F67" s="50">
        <v>0</v>
      </c>
      <c r="G67" s="50">
        <v>30</v>
      </c>
      <c r="H67" s="50">
        <v>14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10</v>
      </c>
      <c r="O67" s="50">
        <v>45</v>
      </c>
      <c r="P67" s="50">
        <v>60</v>
      </c>
      <c r="Q67" s="50">
        <v>60</v>
      </c>
      <c r="R67" s="50">
        <v>60</v>
      </c>
      <c r="S67" s="50">
        <v>60</v>
      </c>
      <c r="T67" s="50">
        <v>60</v>
      </c>
      <c r="U67" s="50">
        <v>60</v>
      </c>
      <c r="V67" s="50">
        <v>60</v>
      </c>
      <c r="W67" s="50">
        <v>45</v>
      </c>
      <c r="X67" s="50">
        <v>45</v>
      </c>
      <c r="Y67" s="50">
        <v>40</v>
      </c>
      <c r="Z67" s="50">
        <v>30</v>
      </c>
      <c r="AA67" s="50">
        <v>30</v>
      </c>
      <c r="AB67" s="50">
        <v>30</v>
      </c>
      <c r="AC67" s="50">
        <v>30</v>
      </c>
      <c r="AD67" s="50">
        <v>30</v>
      </c>
      <c r="AE67" s="50">
        <v>30</v>
      </c>
      <c r="AF67" s="50">
        <v>30</v>
      </c>
      <c r="AG67" s="56">
        <v>60</v>
      </c>
      <c r="AH67" s="52">
        <f t="shared" si="2"/>
        <v>60</v>
      </c>
      <c r="AI67" s="53">
        <f t="shared" si="3"/>
        <v>0</v>
      </c>
      <c r="AK67" s="54"/>
    </row>
    <row r="68" spans="1:40" x14ac:dyDescent="0.25">
      <c r="A68" s="60" t="s">
        <v>76</v>
      </c>
      <c r="B68" s="72">
        <v>11.5</v>
      </c>
      <c r="C68" s="72">
        <v>5.6</v>
      </c>
      <c r="D68" s="72">
        <v>5.6</v>
      </c>
      <c r="E68" s="72">
        <v>0</v>
      </c>
      <c r="F68" s="72">
        <v>0</v>
      </c>
      <c r="G68" s="72">
        <v>6.3</v>
      </c>
      <c r="H68" s="72">
        <v>13.6</v>
      </c>
      <c r="I68" s="72">
        <v>4.9000000000000004</v>
      </c>
      <c r="J68" s="72">
        <v>0</v>
      </c>
      <c r="K68" s="72">
        <v>0</v>
      </c>
      <c r="L68" s="72">
        <v>0</v>
      </c>
      <c r="M68" s="72">
        <v>0</v>
      </c>
      <c r="N68" s="72">
        <v>5.8</v>
      </c>
      <c r="O68" s="72">
        <v>20</v>
      </c>
      <c r="P68" s="72">
        <v>28.7</v>
      </c>
      <c r="Q68" s="72">
        <v>28.7</v>
      </c>
      <c r="R68" s="72">
        <v>28.7</v>
      </c>
      <c r="S68" s="72">
        <v>28.7</v>
      </c>
      <c r="T68" s="72">
        <v>28.7</v>
      </c>
      <c r="U68" s="72">
        <v>28.7</v>
      </c>
      <c r="V68" s="72">
        <v>28.7</v>
      </c>
      <c r="W68" s="72">
        <v>28.3</v>
      </c>
      <c r="X68" s="72">
        <v>28.3</v>
      </c>
      <c r="Y68" s="72">
        <v>17.3</v>
      </c>
      <c r="Z68" s="72">
        <v>17.2</v>
      </c>
      <c r="AA68" s="72">
        <v>15.1</v>
      </c>
      <c r="AB68" s="72">
        <v>15.1</v>
      </c>
      <c r="AC68" s="72">
        <v>15.1</v>
      </c>
      <c r="AD68" s="72">
        <v>15.1</v>
      </c>
      <c r="AE68" s="72">
        <v>15.1</v>
      </c>
      <c r="AF68" s="72">
        <v>15.1</v>
      </c>
      <c r="AG68" s="61">
        <v>32</v>
      </c>
      <c r="AH68" s="52">
        <f t="shared" si="2"/>
        <v>28.7</v>
      </c>
      <c r="AI68" s="53">
        <f t="shared" si="3"/>
        <v>0</v>
      </c>
      <c r="AK68" s="54"/>
    </row>
    <row r="69" spans="1:40" ht="15.75" thickBot="1" x14ac:dyDescent="0.3">
      <c r="A69" s="78" t="s">
        <v>77</v>
      </c>
      <c r="B69" s="74">
        <v>4.2</v>
      </c>
      <c r="C69" s="74">
        <v>2</v>
      </c>
      <c r="D69" s="74">
        <v>2</v>
      </c>
      <c r="E69" s="74">
        <v>0</v>
      </c>
      <c r="F69" s="74">
        <v>0</v>
      </c>
      <c r="G69" s="74">
        <v>2.2999999999999998</v>
      </c>
      <c r="H69" s="74">
        <v>5</v>
      </c>
      <c r="I69" s="74">
        <v>1.8</v>
      </c>
      <c r="J69" s="74">
        <v>0</v>
      </c>
      <c r="K69" s="74">
        <v>0</v>
      </c>
      <c r="L69" s="74">
        <v>0</v>
      </c>
      <c r="M69" s="74">
        <v>0</v>
      </c>
      <c r="N69" s="74">
        <v>2.1</v>
      </c>
      <c r="O69" s="74">
        <v>7</v>
      </c>
      <c r="P69" s="74">
        <v>10.3</v>
      </c>
      <c r="Q69" s="74">
        <v>10.3</v>
      </c>
      <c r="R69" s="74">
        <v>10.3</v>
      </c>
      <c r="S69" s="74">
        <v>10.3</v>
      </c>
      <c r="T69" s="74">
        <v>10.3</v>
      </c>
      <c r="U69" s="74">
        <v>10.3</v>
      </c>
      <c r="V69" s="74">
        <v>10.3</v>
      </c>
      <c r="W69" s="74">
        <v>10</v>
      </c>
      <c r="X69" s="74">
        <v>10</v>
      </c>
      <c r="Y69" s="74">
        <v>6.3</v>
      </c>
      <c r="Z69" s="74">
        <v>5.6</v>
      </c>
      <c r="AA69" s="74">
        <v>5.5</v>
      </c>
      <c r="AB69" s="74">
        <v>5.5</v>
      </c>
      <c r="AC69" s="74">
        <v>5.5</v>
      </c>
      <c r="AD69" s="74">
        <v>5.5</v>
      </c>
      <c r="AE69" s="74">
        <v>5.5</v>
      </c>
      <c r="AF69" s="74">
        <v>5.5</v>
      </c>
      <c r="AG69" s="75">
        <v>14</v>
      </c>
      <c r="AH69" s="52">
        <f t="shared" si="2"/>
        <v>10.3</v>
      </c>
      <c r="AI69" s="53">
        <f t="shared" si="3"/>
        <v>0</v>
      </c>
      <c r="AK69" s="54"/>
    </row>
    <row r="70" spans="1:40" ht="15.75" thickBot="1" x14ac:dyDescent="0.3">
      <c r="A70" s="81" t="s">
        <v>78</v>
      </c>
      <c r="B70" s="67">
        <f>B67+B68+B69</f>
        <v>35.700000000000003</v>
      </c>
      <c r="C70" s="67">
        <f t="shared" ref="C70:K70" si="11">C67+C68+C69</f>
        <v>21.6</v>
      </c>
      <c r="D70" s="67">
        <f t="shared" si="11"/>
        <v>21.6</v>
      </c>
      <c r="E70" s="67">
        <f t="shared" si="11"/>
        <v>0</v>
      </c>
      <c r="F70" s="67">
        <f t="shared" si="11"/>
        <v>0</v>
      </c>
      <c r="G70" s="67">
        <f t="shared" si="11"/>
        <v>38.599999999999994</v>
      </c>
      <c r="H70" s="67">
        <f t="shared" si="11"/>
        <v>32.6</v>
      </c>
      <c r="I70" s="67">
        <f t="shared" si="11"/>
        <v>6.7</v>
      </c>
      <c r="J70" s="67">
        <f t="shared" si="11"/>
        <v>0</v>
      </c>
      <c r="K70" s="67">
        <f t="shared" si="11"/>
        <v>0</v>
      </c>
      <c r="L70" s="67">
        <f>L67+L68+L69</f>
        <v>0</v>
      </c>
      <c r="M70" s="67">
        <f t="shared" ref="M70:AF70" si="12">M67+M68+M69</f>
        <v>0</v>
      </c>
      <c r="N70" s="67">
        <f t="shared" si="12"/>
        <v>17.900000000000002</v>
      </c>
      <c r="O70" s="67">
        <f t="shared" si="12"/>
        <v>72</v>
      </c>
      <c r="P70" s="67">
        <f t="shared" si="12"/>
        <v>99</v>
      </c>
      <c r="Q70" s="67">
        <f t="shared" si="12"/>
        <v>99</v>
      </c>
      <c r="R70" s="67">
        <f t="shared" si="12"/>
        <v>99</v>
      </c>
      <c r="S70" s="67">
        <f t="shared" si="12"/>
        <v>99</v>
      </c>
      <c r="T70" s="67">
        <f t="shared" ref="T70:V70" si="13">T67+T68+T69</f>
        <v>99</v>
      </c>
      <c r="U70" s="67">
        <f t="shared" si="13"/>
        <v>99</v>
      </c>
      <c r="V70" s="67">
        <f t="shared" si="13"/>
        <v>99</v>
      </c>
      <c r="W70" s="67">
        <f t="shared" si="12"/>
        <v>83.3</v>
      </c>
      <c r="X70" s="67">
        <f t="shared" si="12"/>
        <v>83.3</v>
      </c>
      <c r="Y70" s="67">
        <f t="shared" si="12"/>
        <v>63.599999999999994</v>
      </c>
      <c r="Z70" s="67">
        <f t="shared" si="12"/>
        <v>52.800000000000004</v>
      </c>
      <c r="AA70" s="67">
        <v>50.6</v>
      </c>
      <c r="AB70" s="67">
        <f t="shared" si="12"/>
        <v>50.6</v>
      </c>
      <c r="AC70" s="67">
        <f t="shared" si="12"/>
        <v>50.6</v>
      </c>
      <c r="AD70" s="67">
        <f t="shared" si="12"/>
        <v>50.6</v>
      </c>
      <c r="AE70" s="67">
        <f t="shared" si="12"/>
        <v>50.6</v>
      </c>
      <c r="AF70" s="67">
        <f t="shared" si="12"/>
        <v>50.6</v>
      </c>
      <c r="AG70" s="68">
        <f>SUM(AG67:AG69)</f>
        <v>106</v>
      </c>
      <c r="AH70" s="52">
        <f t="shared" si="2"/>
        <v>99</v>
      </c>
      <c r="AI70" s="53">
        <f t="shared" si="3"/>
        <v>0</v>
      </c>
      <c r="AK70" s="54"/>
    </row>
    <row r="71" spans="1:40" x14ac:dyDescent="0.25">
      <c r="A71" s="49" t="s">
        <v>79</v>
      </c>
      <c r="B71" s="50">
        <v>56</v>
      </c>
      <c r="C71" s="50">
        <v>56.2</v>
      </c>
      <c r="D71" s="50">
        <v>52</v>
      </c>
      <c r="E71" s="50">
        <v>51.4</v>
      </c>
      <c r="F71" s="50">
        <v>50.4</v>
      </c>
      <c r="G71" s="50">
        <v>44.2</v>
      </c>
      <c r="H71" s="50">
        <v>43.4</v>
      </c>
      <c r="I71" s="50">
        <v>42</v>
      </c>
      <c r="J71" s="50">
        <v>47</v>
      </c>
      <c r="K71" s="50">
        <v>49.9</v>
      </c>
      <c r="L71" s="50">
        <v>48</v>
      </c>
      <c r="M71" s="50">
        <v>55.9</v>
      </c>
      <c r="N71" s="50">
        <v>64</v>
      </c>
      <c r="O71" s="50">
        <v>60</v>
      </c>
      <c r="P71" s="50">
        <v>64</v>
      </c>
      <c r="Q71" s="50">
        <v>64</v>
      </c>
      <c r="R71" s="50">
        <v>64</v>
      </c>
      <c r="S71" s="50">
        <v>71.8</v>
      </c>
      <c r="T71" s="50">
        <v>68.599999999999994</v>
      </c>
      <c r="U71" s="50">
        <v>65</v>
      </c>
      <c r="V71" s="50">
        <v>68</v>
      </c>
      <c r="W71" s="50">
        <v>60</v>
      </c>
      <c r="X71" s="50">
        <v>56.5</v>
      </c>
      <c r="Y71" s="50">
        <v>56</v>
      </c>
      <c r="Z71" s="50">
        <v>52.1</v>
      </c>
      <c r="AA71" s="50">
        <v>61.4</v>
      </c>
      <c r="AB71" s="50">
        <v>63.3</v>
      </c>
      <c r="AC71" s="50">
        <v>63.3</v>
      </c>
      <c r="AD71" s="50">
        <v>68.599999999999994</v>
      </c>
      <c r="AE71" s="50">
        <v>63</v>
      </c>
      <c r="AF71" s="50">
        <v>70</v>
      </c>
      <c r="AG71" s="56"/>
      <c r="AH71" s="52">
        <f t="shared" si="2"/>
        <v>71.8</v>
      </c>
      <c r="AI71" s="53">
        <f t="shared" si="3"/>
        <v>42</v>
      </c>
      <c r="AK71" s="54"/>
    </row>
    <row r="72" spans="1:40" x14ac:dyDescent="0.25">
      <c r="A72" s="60" t="s">
        <v>80</v>
      </c>
      <c r="B72" s="72"/>
      <c r="C72" s="72"/>
      <c r="D72" s="72"/>
      <c r="E72" s="72">
        <v>74.599999999999994</v>
      </c>
      <c r="F72" s="72">
        <v>75.400000000000006</v>
      </c>
      <c r="G72" s="72">
        <v>65.2</v>
      </c>
      <c r="H72" s="72">
        <v>73</v>
      </c>
      <c r="I72" s="72">
        <v>77.3</v>
      </c>
      <c r="J72" s="72">
        <v>76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77.3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312</v>
      </c>
      <c r="C73" s="72">
        <v>370</v>
      </c>
      <c r="D73" s="72">
        <v>362</v>
      </c>
      <c r="E73" s="72">
        <v>348.3</v>
      </c>
      <c r="F73" s="72">
        <v>343.3</v>
      </c>
      <c r="G73" s="72">
        <v>355</v>
      </c>
      <c r="H73" s="72">
        <v>361.2</v>
      </c>
      <c r="I73" s="72">
        <v>350</v>
      </c>
      <c r="J73" s="72">
        <v>359</v>
      </c>
      <c r="K73" s="72">
        <v>392</v>
      </c>
      <c r="L73" s="72">
        <v>394</v>
      </c>
      <c r="M73" s="72">
        <v>405</v>
      </c>
      <c r="N73" s="72">
        <v>399</v>
      </c>
      <c r="O73" s="72">
        <v>420</v>
      </c>
      <c r="P73" s="72">
        <v>398</v>
      </c>
      <c r="Q73" s="72">
        <v>412</v>
      </c>
      <c r="R73" s="72">
        <v>398</v>
      </c>
      <c r="S73" s="72">
        <v>416</v>
      </c>
      <c r="T73" s="72">
        <v>417</v>
      </c>
      <c r="U73" s="72">
        <v>400</v>
      </c>
      <c r="V73" s="72">
        <v>420</v>
      </c>
      <c r="W73" s="72">
        <v>400</v>
      </c>
      <c r="X73" s="72">
        <v>380</v>
      </c>
      <c r="Y73" s="72">
        <v>290</v>
      </c>
      <c r="Z73" s="72">
        <v>290</v>
      </c>
      <c r="AA73" s="72">
        <v>283</v>
      </c>
      <c r="AB73" s="72">
        <v>314</v>
      </c>
      <c r="AC73" s="72">
        <v>314</v>
      </c>
      <c r="AD73" s="72">
        <v>331</v>
      </c>
      <c r="AE73" s="72">
        <v>415</v>
      </c>
      <c r="AF73" s="72">
        <v>451</v>
      </c>
      <c r="AG73" s="82"/>
      <c r="AH73" s="52">
        <f t="shared" si="2"/>
        <v>451</v>
      </c>
      <c r="AI73" s="53">
        <f t="shared" si="3"/>
        <v>283</v>
      </c>
      <c r="AK73" s="54"/>
    </row>
    <row r="74" spans="1:40" x14ac:dyDescent="0.25">
      <c r="A74" s="60" t="s">
        <v>82</v>
      </c>
      <c r="B74" s="72">
        <v>31</v>
      </c>
      <c r="C74" s="72">
        <v>32.700000000000003</v>
      </c>
      <c r="D74" s="72">
        <v>30</v>
      </c>
      <c r="E74" s="83">
        <v>32.5</v>
      </c>
      <c r="F74" s="83">
        <v>32.4</v>
      </c>
      <c r="G74" s="83">
        <v>30.4</v>
      </c>
      <c r="H74" s="83">
        <v>28.1</v>
      </c>
      <c r="I74" s="83">
        <v>24.2</v>
      </c>
      <c r="J74" s="83">
        <v>50.9</v>
      </c>
      <c r="K74" s="83">
        <v>52.5</v>
      </c>
      <c r="L74" s="83">
        <v>51.9</v>
      </c>
      <c r="M74" s="83">
        <v>53</v>
      </c>
      <c r="N74" s="83">
        <v>56</v>
      </c>
      <c r="O74" s="83">
        <v>61.2</v>
      </c>
      <c r="P74" s="83">
        <v>61.8</v>
      </c>
      <c r="Q74" s="83">
        <v>60.7</v>
      </c>
      <c r="R74" s="83">
        <v>62</v>
      </c>
      <c r="S74" s="83">
        <v>62</v>
      </c>
      <c r="T74" s="83">
        <v>62</v>
      </c>
      <c r="U74" s="83">
        <v>62</v>
      </c>
      <c r="V74" s="83">
        <v>62</v>
      </c>
      <c r="W74" s="83">
        <v>62</v>
      </c>
      <c r="X74" s="83">
        <v>62</v>
      </c>
      <c r="Y74" s="72">
        <v>47.9</v>
      </c>
      <c r="Z74" s="72">
        <v>47.9</v>
      </c>
      <c r="AA74" s="72">
        <v>56.2</v>
      </c>
      <c r="AB74" s="72">
        <v>59</v>
      </c>
      <c r="AC74" s="72">
        <v>59</v>
      </c>
      <c r="AD74" s="72">
        <v>56</v>
      </c>
      <c r="AE74" s="72">
        <v>56</v>
      </c>
      <c r="AF74" s="72">
        <v>56</v>
      </c>
      <c r="AG74" s="82"/>
      <c r="AH74" s="52">
        <f t="shared" si="2"/>
        <v>62</v>
      </c>
      <c r="AI74" s="53">
        <f t="shared" si="3"/>
        <v>24.2</v>
      </c>
      <c r="AK74" s="54"/>
    </row>
    <row r="75" spans="1:40" x14ac:dyDescent="0.25">
      <c r="A75" s="60" t="s">
        <v>83</v>
      </c>
      <c r="B75" s="50">
        <v>21.6</v>
      </c>
      <c r="C75" s="50">
        <v>22.5</v>
      </c>
      <c r="D75" s="50">
        <v>23.2</v>
      </c>
      <c r="E75" s="50">
        <v>21.2</v>
      </c>
      <c r="F75" s="50">
        <v>21.4</v>
      </c>
      <c r="G75" s="50">
        <v>20.3</v>
      </c>
      <c r="H75" s="50">
        <v>21.4</v>
      </c>
      <c r="I75" s="50">
        <v>20.399999999999999</v>
      </c>
      <c r="J75" s="50">
        <v>21.9</v>
      </c>
      <c r="K75" s="50">
        <v>25</v>
      </c>
      <c r="L75" s="50">
        <v>24.5</v>
      </c>
      <c r="M75" s="50">
        <v>24.9</v>
      </c>
      <c r="N75" s="50">
        <v>30</v>
      </c>
      <c r="O75" s="50">
        <v>32.9</v>
      </c>
      <c r="P75" s="50">
        <v>34.299999999999997</v>
      </c>
      <c r="Q75" s="50">
        <v>33.4</v>
      </c>
      <c r="R75" s="50">
        <v>34</v>
      </c>
      <c r="S75" s="50">
        <v>34</v>
      </c>
      <c r="T75" s="50">
        <v>34</v>
      </c>
      <c r="U75" s="50">
        <v>34</v>
      </c>
      <c r="V75" s="50">
        <v>34</v>
      </c>
      <c r="W75" s="50">
        <v>34</v>
      </c>
      <c r="X75" s="50">
        <v>34</v>
      </c>
      <c r="Y75" s="50">
        <v>25</v>
      </c>
      <c r="Z75" s="50">
        <v>25</v>
      </c>
      <c r="AA75" s="50">
        <v>21.6</v>
      </c>
      <c r="AB75" s="50">
        <v>21.1</v>
      </c>
      <c r="AC75" s="50">
        <v>21.1</v>
      </c>
      <c r="AD75" s="50">
        <v>21.5</v>
      </c>
      <c r="AE75" s="50">
        <v>23</v>
      </c>
      <c r="AF75" s="50">
        <v>26</v>
      </c>
      <c r="AG75" s="82"/>
      <c r="AH75" s="52">
        <f t="shared" ref="AH75:AH117" si="14">MAX(B75:AF75)</f>
        <v>34.299999999999997</v>
      </c>
      <c r="AI75" s="53">
        <f t="shared" ref="AI75:AI117" si="15">MIN(B75:AF75)</f>
        <v>20.3</v>
      </c>
      <c r="AK75" s="54"/>
    </row>
    <row r="76" spans="1:40" x14ac:dyDescent="0.25">
      <c r="A76" s="60" t="s">
        <v>84</v>
      </c>
      <c r="B76" s="84">
        <v>8</v>
      </c>
      <c r="C76" s="84">
        <v>8</v>
      </c>
      <c r="D76" s="84">
        <v>8</v>
      </c>
      <c r="E76" s="84">
        <v>8</v>
      </c>
      <c r="F76" s="84">
        <v>8</v>
      </c>
      <c r="G76" s="84">
        <v>8</v>
      </c>
      <c r="H76" s="84">
        <v>8</v>
      </c>
      <c r="I76" s="84">
        <v>0</v>
      </c>
      <c r="J76" s="84">
        <v>0</v>
      </c>
      <c r="K76" s="84">
        <v>0</v>
      </c>
      <c r="L76" s="84"/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8</v>
      </c>
      <c r="U76" s="84">
        <v>8</v>
      </c>
      <c r="V76" s="84">
        <v>8</v>
      </c>
      <c r="W76" s="84">
        <v>8</v>
      </c>
      <c r="X76" s="84">
        <v>8</v>
      </c>
      <c r="Y76" s="84">
        <v>8</v>
      </c>
      <c r="Z76" s="84">
        <v>0</v>
      </c>
      <c r="AA76" s="84">
        <v>0</v>
      </c>
      <c r="AB76" s="84">
        <v>0</v>
      </c>
      <c r="AC76" s="84">
        <v>8</v>
      </c>
      <c r="AD76" s="84">
        <v>8</v>
      </c>
      <c r="AE76" s="84">
        <v>8</v>
      </c>
      <c r="AF76" s="84">
        <v>8</v>
      </c>
      <c r="AG76" s="82"/>
      <c r="AH76" s="52">
        <f t="shared" si="14"/>
        <v>8</v>
      </c>
      <c r="AI76" s="53">
        <f t="shared" si="15"/>
        <v>0</v>
      </c>
      <c r="AK76" s="54"/>
    </row>
    <row r="77" spans="1:40" ht="15.75" thickBot="1" x14ac:dyDescent="0.3">
      <c r="A77" s="60" t="s">
        <v>85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/>
      <c r="M77" s="84">
        <v>0</v>
      </c>
      <c r="N77" s="84">
        <v>0</v>
      </c>
      <c r="O77" s="84">
        <v>0</v>
      </c>
      <c r="P77" s="84">
        <v>5</v>
      </c>
      <c r="Q77" s="84">
        <v>5</v>
      </c>
      <c r="R77" s="84">
        <v>5</v>
      </c>
      <c r="S77" s="84">
        <v>5</v>
      </c>
      <c r="T77" s="84">
        <v>5</v>
      </c>
      <c r="U77" s="84">
        <v>5</v>
      </c>
      <c r="V77" s="84">
        <v>5</v>
      </c>
      <c r="W77" s="84">
        <v>5</v>
      </c>
      <c r="X77" s="84">
        <v>5</v>
      </c>
      <c r="Y77" s="84">
        <v>5</v>
      </c>
      <c r="Z77" s="84">
        <v>5</v>
      </c>
      <c r="AA77" s="84">
        <v>5</v>
      </c>
      <c r="AB77" s="84">
        <v>5</v>
      </c>
      <c r="AC77" s="84">
        <v>5</v>
      </c>
      <c r="AD77" s="84">
        <v>5</v>
      </c>
      <c r="AE77" s="84">
        <v>5</v>
      </c>
      <c r="AF77" s="84">
        <v>5</v>
      </c>
      <c r="AG77" s="82"/>
      <c r="AH77" s="52">
        <f t="shared" si="14"/>
        <v>5</v>
      </c>
      <c r="AI77" s="53">
        <f t="shared" si="15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4"/>
        <v>0</v>
      </c>
      <c r="AI78" s="53">
        <f t="shared" si="15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4"/>
        <v>0</v>
      </c>
      <c r="AI79" s="53">
        <f t="shared" si="15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4"/>
        <v>0</v>
      </c>
      <c r="AI80" s="53">
        <f t="shared" si="15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4"/>
        <v>0</v>
      </c>
      <c r="AI81" s="53">
        <f t="shared" si="15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:AF82" si="16">SUMIF(B71:B81,"&gt;0")</f>
        <v>428.6</v>
      </c>
      <c r="C82" s="67">
        <f t="shared" si="16"/>
        <v>489.4</v>
      </c>
      <c r="D82" s="67">
        <f t="shared" si="16"/>
        <v>475.2</v>
      </c>
      <c r="E82" s="67">
        <f t="shared" si="16"/>
        <v>536</v>
      </c>
      <c r="F82" s="67">
        <f t="shared" si="16"/>
        <v>530.9</v>
      </c>
      <c r="G82" s="67">
        <f t="shared" si="16"/>
        <v>523.09999999999991</v>
      </c>
      <c r="H82" s="67">
        <f t="shared" si="16"/>
        <v>535.1</v>
      </c>
      <c r="I82" s="67">
        <f t="shared" si="16"/>
        <v>513.9</v>
      </c>
      <c r="J82" s="67">
        <f t="shared" si="16"/>
        <v>554.79999999999995</v>
      </c>
      <c r="K82" s="67">
        <f t="shared" si="16"/>
        <v>519.4</v>
      </c>
      <c r="L82" s="67">
        <f t="shared" si="16"/>
        <v>518.4</v>
      </c>
      <c r="M82" s="67">
        <f t="shared" si="16"/>
        <v>538.79999999999995</v>
      </c>
      <c r="N82" s="67">
        <f t="shared" si="16"/>
        <v>549</v>
      </c>
      <c r="O82" s="67">
        <f t="shared" si="16"/>
        <v>574.1</v>
      </c>
      <c r="P82" s="67">
        <f>SUMIF(P71:P81,"&gt;0")</f>
        <v>563.09999999999991</v>
      </c>
      <c r="Q82" s="67">
        <f t="shared" si="16"/>
        <v>575.1</v>
      </c>
      <c r="R82" s="67">
        <f t="shared" si="16"/>
        <v>563</v>
      </c>
      <c r="S82" s="67">
        <f t="shared" si="16"/>
        <v>588.79999999999995</v>
      </c>
      <c r="T82" s="67">
        <f t="shared" ref="T82:V82" si="17">SUMIF(T71:T81,"&gt;0")</f>
        <v>594.6</v>
      </c>
      <c r="U82" s="67">
        <f t="shared" si="17"/>
        <v>574</v>
      </c>
      <c r="V82" s="67">
        <f t="shared" si="17"/>
        <v>597</v>
      </c>
      <c r="W82" s="67">
        <f t="shared" si="16"/>
        <v>569</v>
      </c>
      <c r="X82" s="67">
        <f t="shared" si="16"/>
        <v>545.5</v>
      </c>
      <c r="Y82" s="67">
        <f t="shared" si="16"/>
        <v>431.9</v>
      </c>
      <c r="Z82" s="67">
        <f t="shared" si="16"/>
        <v>420</v>
      </c>
      <c r="AA82" s="67">
        <v>435.4</v>
      </c>
      <c r="AB82" s="67">
        <f t="shared" si="16"/>
        <v>462.40000000000003</v>
      </c>
      <c r="AC82" s="67">
        <f t="shared" si="16"/>
        <v>470.40000000000003</v>
      </c>
      <c r="AD82" s="67">
        <f t="shared" si="16"/>
        <v>490.1</v>
      </c>
      <c r="AE82" s="67">
        <f t="shared" si="16"/>
        <v>570</v>
      </c>
      <c r="AF82" s="67">
        <f t="shared" si="16"/>
        <v>616</v>
      </c>
      <c r="AG82" s="95">
        <f>SUM(AG71:AG81)</f>
        <v>0</v>
      </c>
      <c r="AH82" s="52">
        <f t="shared" si="14"/>
        <v>616</v>
      </c>
      <c r="AI82" s="53">
        <f t="shared" si="15"/>
        <v>420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4"/>
        <v>0</v>
      </c>
      <c r="AI83" s="53">
        <f t="shared" si="15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4"/>
        <v>0</v>
      </c>
      <c r="AI84" s="53">
        <f t="shared" si="15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4"/>
        <v>0</v>
      </c>
      <c r="AI85" s="53">
        <f t="shared" si="15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>
        <v>0</v>
      </c>
      <c r="AB86" s="67"/>
      <c r="AC86" s="67"/>
      <c r="AD86" s="67"/>
      <c r="AE86" s="67"/>
      <c r="AF86" s="67"/>
      <c r="AG86" s="95">
        <f>SUM(AG83:AG85)</f>
        <v>55.4</v>
      </c>
      <c r="AH86" s="52">
        <f t="shared" si="14"/>
        <v>0</v>
      </c>
      <c r="AI86" s="53">
        <f t="shared" si="15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>B48+B52+B70+B66+B82+B86</f>
        <v>1344.2400000000002</v>
      </c>
      <c r="C87" s="102">
        <f t="shared" ref="C87:AG87" si="18">C48+C52+C70+C66+C82+C86</f>
        <v>1339.8400000000001</v>
      </c>
      <c r="D87" s="102">
        <f t="shared" si="18"/>
        <v>1319.34</v>
      </c>
      <c r="E87" s="102">
        <f t="shared" si="18"/>
        <v>1304.44</v>
      </c>
      <c r="F87" s="102">
        <f t="shared" si="18"/>
        <v>1301.04</v>
      </c>
      <c r="G87" s="102">
        <f t="shared" si="18"/>
        <v>1329.84</v>
      </c>
      <c r="H87" s="102">
        <f t="shared" si="18"/>
        <v>1324.44</v>
      </c>
      <c r="I87" s="102">
        <f t="shared" si="18"/>
        <v>1247.3400000000001</v>
      </c>
      <c r="J87" s="102">
        <f t="shared" si="18"/>
        <v>1268.54</v>
      </c>
      <c r="K87" s="102">
        <f t="shared" si="18"/>
        <v>1235.8400000000001</v>
      </c>
      <c r="L87" s="102">
        <f t="shared" si="18"/>
        <v>1267.6399999999999</v>
      </c>
      <c r="M87" s="102">
        <f t="shared" si="18"/>
        <v>1291.7399999999998</v>
      </c>
      <c r="N87" s="102">
        <f t="shared" si="18"/>
        <v>1248.94</v>
      </c>
      <c r="O87" s="102">
        <f t="shared" si="18"/>
        <v>1341.1399999999999</v>
      </c>
      <c r="P87" s="102">
        <f t="shared" si="18"/>
        <v>1446.8399999999997</v>
      </c>
      <c r="Q87" s="102">
        <f t="shared" si="18"/>
        <v>1533.94</v>
      </c>
      <c r="R87" s="102">
        <f t="shared" si="18"/>
        <v>1552.94</v>
      </c>
      <c r="S87" s="102">
        <f t="shared" si="18"/>
        <v>1562.4399999999998</v>
      </c>
      <c r="T87" s="102">
        <f t="shared" ref="T87:V87" si="19">T48+T52+T70+T66+T82+T86</f>
        <v>1580.2399999999998</v>
      </c>
      <c r="U87" s="102">
        <f t="shared" si="19"/>
        <v>1567.6399999999999</v>
      </c>
      <c r="V87" s="102">
        <f t="shared" si="19"/>
        <v>1580.1399999999999</v>
      </c>
      <c r="W87" s="102">
        <f t="shared" si="18"/>
        <v>1421.7399999999998</v>
      </c>
      <c r="X87" s="102">
        <f t="shared" si="18"/>
        <v>1385.9399999999998</v>
      </c>
      <c r="Y87" s="102">
        <f t="shared" si="18"/>
        <v>1455.2399999999998</v>
      </c>
      <c r="Z87" s="102">
        <f t="shared" si="18"/>
        <v>1443.44</v>
      </c>
      <c r="AA87" s="102">
        <v>1525.94</v>
      </c>
      <c r="AB87" s="102">
        <f t="shared" si="18"/>
        <v>1514.7400000000002</v>
      </c>
      <c r="AC87" s="102">
        <f t="shared" si="18"/>
        <v>1541.7400000000002</v>
      </c>
      <c r="AD87" s="102">
        <f t="shared" si="18"/>
        <v>1505.8400000000001</v>
      </c>
      <c r="AE87" s="102">
        <f t="shared" si="18"/>
        <v>1464.74</v>
      </c>
      <c r="AF87" s="102">
        <f t="shared" si="18"/>
        <v>1441.24</v>
      </c>
      <c r="AG87" s="68">
        <f t="shared" si="18"/>
        <v>2065.09</v>
      </c>
      <c r="AH87" s="52">
        <f>MAX(B87:AF87)</f>
        <v>1580.2399999999998</v>
      </c>
      <c r="AI87" s="53">
        <f>MIN(B87:AF87)</f>
        <v>1235.8400000000001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>
        <v>100</v>
      </c>
      <c r="J88" s="104">
        <v>120</v>
      </c>
      <c r="K88" s="104">
        <v>150</v>
      </c>
      <c r="L88" s="104">
        <v>150</v>
      </c>
      <c r="M88" s="104">
        <v>150</v>
      </c>
      <c r="N88" s="104">
        <v>150</v>
      </c>
      <c r="O88" s="104">
        <v>150</v>
      </c>
      <c r="P88" s="104"/>
      <c r="Q88" s="104"/>
      <c r="R88" s="104"/>
      <c r="S88" s="104"/>
      <c r="T88" s="104"/>
      <c r="U88" s="104"/>
      <c r="V88" s="104"/>
      <c r="W88" s="104"/>
      <c r="X88" s="104">
        <v>170</v>
      </c>
      <c r="Y88" s="104">
        <v>170</v>
      </c>
      <c r="Z88" s="104">
        <v>170</v>
      </c>
      <c r="AA88" s="104">
        <v>170</v>
      </c>
      <c r="AB88" s="104">
        <v>170</v>
      </c>
      <c r="AC88" s="104">
        <v>100</v>
      </c>
      <c r="AD88" s="104">
        <v>100</v>
      </c>
      <c r="AE88" s="104"/>
      <c r="AF88" s="104"/>
      <c r="AG88" s="95"/>
      <c r="AH88" s="52">
        <f t="shared" si="14"/>
        <v>170</v>
      </c>
      <c r="AI88" s="53">
        <f t="shared" si="15"/>
        <v>100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>B87+B88</f>
        <v>1344.2400000000002</v>
      </c>
      <c r="C89" s="102">
        <f t="shared" ref="C89:AF89" si="20">C87+C88</f>
        <v>1339.8400000000001</v>
      </c>
      <c r="D89" s="102">
        <f t="shared" si="20"/>
        <v>1319.34</v>
      </c>
      <c r="E89" s="102">
        <f t="shared" si="20"/>
        <v>1304.44</v>
      </c>
      <c r="F89" s="102">
        <f t="shared" si="20"/>
        <v>1301.04</v>
      </c>
      <c r="G89" s="102">
        <f t="shared" si="20"/>
        <v>1329.84</v>
      </c>
      <c r="H89" s="102">
        <f t="shared" si="20"/>
        <v>1324.44</v>
      </c>
      <c r="I89" s="102">
        <f t="shared" si="20"/>
        <v>1347.3400000000001</v>
      </c>
      <c r="J89" s="102">
        <f t="shared" si="20"/>
        <v>1388.54</v>
      </c>
      <c r="K89" s="102">
        <f t="shared" si="20"/>
        <v>1385.8400000000001</v>
      </c>
      <c r="L89" s="102">
        <f t="shared" si="20"/>
        <v>1417.6399999999999</v>
      </c>
      <c r="M89" s="102">
        <f t="shared" si="20"/>
        <v>1441.7399999999998</v>
      </c>
      <c r="N89" s="102">
        <f t="shared" si="20"/>
        <v>1398.94</v>
      </c>
      <c r="O89" s="102">
        <f t="shared" si="20"/>
        <v>1491.1399999999999</v>
      </c>
      <c r="P89" s="102">
        <f t="shared" si="20"/>
        <v>1446.8399999999997</v>
      </c>
      <c r="Q89" s="102">
        <f t="shared" si="20"/>
        <v>1533.94</v>
      </c>
      <c r="R89" s="102">
        <f t="shared" si="20"/>
        <v>1552.94</v>
      </c>
      <c r="S89" s="102">
        <f t="shared" si="20"/>
        <v>1562.4399999999998</v>
      </c>
      <c r="T89" s="102">
        <f t="shared" ref="T89:V89" si="21">T87+T88</f>
        <v>1580.2399999999998</v>
      </c>
      <c r="U89" s="102">
        <f t="shared" si="21"/>
        <v>1567.6399999999999</v>
      </c>
      <c r="V89" s="102">
        <f t="shared" si="21"/>
        <v>1580.1399999999999</v>
      </c>
      <c r="W89" s="102">
        <f t="shared" si="20"/>
        <v>1421.7399999999998</v>
      </c>
      <c r="X89" s="102">
        <f t="shared" si="20"/>
        <v>1555.9399999999998</v>
      </c>
      <c r="Y89" s="102">
        <f t="shared" si="20"/>
        <v>1625.2399999999998</v>
      </c>
      <c r="Z89" s="102">
        <f t="shared" si="20"/>
        <v>1613.44</v>
      </c>
      <c r="AA89" s="102">
        <v>1695.94</v>
      </c>
      <c r="AB89" s="102">
        <f t="shared" si="20"/>
        <v>1684.7400000000002</v>
      </c>
      <c r="AC89" s="102">
        <f t="shared" si="20"/>
        <v>1641.7400000000002</v>
      </c>
      <c r="AD89" s="102">
        <f t="shared" si="20"/>
        <v>1605.8400000000001</v>
      </c>
      <c r="AE89" s="102">
        <f t="shared" si="20"/>
        <v>1464.74</v>
      </c>
      <c r="AF89" s="102">
        <f t="shared" si="20"/>
        <v>1441.24</v>
      </c>
      <c r="AG89" s="95">
        <f>AG86+AG82+AG70+AG66+AG48+AG88</f>
        <v>1526.99</v>
      </c>
      <c r="AH89" s="52">
        <f t="shared" si="14"/>
        <v>1695.94</v>
      </c>
      <c r="AI89" s="53">
        <f t="shared" si="15"/>
        <v>1301.04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:AF90" si="22">B89-B97</f>
        <v>1344.2400000000002</v>
      </c>
      <c r="C90" s="102">
        <f t="shared" si="22"/>
        <v>1339.8400000000001</v>
      </c>
      <c r="D90" s="102">
        <f t="shared" si="22"/>
        <v>1319.34</v>
      </c>
      <c r="E90" s="102">
        <f t="shared" si="22"/>
        <v>1304.44</v>
      </c>
      <c r="F90" s="102">
        <f t="shared" si="22"/>
        <v>1301.04</v>
      </c>
      <c r="G90" s="102">
        <f t="shared" si="22"/>
        <v>1329.84</v>
      </c>
      <c r="H90" s="102">
        <f t="shared" si="22"/>
        <v>1324.44</v>
      </c>
      <c r="I90" s="102">
        <f t="shared" si="22"/>
        <v>1347.3400000000001</v>
      </c>
      <c r="J90" s="102">
        <f t="shared" si="22"/>
        <v>1388.54</v>
      </c>
      <c r="K90" s="102">
        <f t="shared" si="22"/>
        <v>1385.8400000000001</v>
      </c>
      <c r="L90" s="102">
        <f t="shared" si="22"/>
        <v>1417.6399999999999</v>
      </c>
      <c r="M90" s="102">
        <f t="shared" si="22"/>
        <v>1441.7399999999998</v>
      </c>
      <c r="N90" s="102">
        <f t="shared" si="22"/>
        <v>1398.94</v>
      </c>
      <c r="O90" s="102">
        <f t="shared" si="22"/>
        <v>1491.1399999999999</v>
      </c>
      <c r="P90" s="102">
        <f t="shared" si="22"/>
        <v>1446.8399999999997</v>
      </c>
      <c r="Q90" s="102">
        <f t="shared" si="22"/>
        <v>1533.94</v>
      </c>
      <c r="R90" s="102">
        <f t="shared" si="22"/>
        <v>1552.94</v>
      </c>
      <c r="S90" s="102">
        <f t="shared" si="22"/>
        <v>1562.4399999999998</v>
      </c>
      <c r="T90" s="102">
        <f t="shared" ref="T90:V90" si="23">T89-T97</f>
        <v>1580.2399999999998</v>
      </c>
      <c r="U90" s="102">
        <f t="shared" si="23"/>
        <v>1567.6399999999999</v>
      </c>
      <c r="V90" s="102">
        <f t="shared" si="23"/>
        <v>1580.1399999999999</v>
      </c>
      <c r="W90" s="102">
        <f t="shared" si="22"/>
        <v>1421.7399999999998</v>
      </c>
      <c r="X90" s="102">
        <f t="shared" si="22"/>
        <v>1555.9399999999998</v>
      </c>
      <c r="Y90" s="102">
        <f t="shared" si="22"/>
        <v>1625.2399999999998</v>
      </c>
      <c r="Z90" s="102">
        <f t="shared" si="22"/>
        <v>1613.44</v>
      </c>
      <c r="AA90" s="102">
        <v>1695.94</v>
      </c>
      <c r="AB90" s="102">
        <f t="shared" si="22"/>
        <v>1684.7400000000002</v>
      </c>
      <c r="AC90" s="102">
        <f t="shared" si="22"/>
        <v>1641.7400000000002</v>
      </c>
      <c r="AD90" s="102">
        <f t="shared" si="22"/>
        <v>1605.8400000000001</v>
      </c>
      <c r="AE90" s="102">
        <f t="shared" si="22"/>
        <v>1464.74</v>
      </c>
      <c r="AF90" s="102">
        <f t="shared" si="22"/>
        <v>1441.24</v>
      </c>
      <c r="AG90" s="95"/>
      <c r="AH90" s="52">
        <f t="shared" si="14"/>
        <v>1695.94</v>
      </c>
      <c r="AI90" s="53">
        <f t="shared" si="15"/>
        <v>1301.04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4"/>
        <v>0</v>
      </c>
      <c r="AI91" s="53">
        <f t="shared" si="15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4"/>
        <v>0</v>
      </c>
      <c r="AI92" s="53">
        <f t="shared" si="15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4"/>
        <v>0</v>
      </c>
      <c r="AI93" s="53">
        <f t="shared" si="15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4"/>
        <v>0</v>
      </c>
      <c r="AI94" s="53">
        <f t="shared" si="15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4"/>
        <v>0</v>
      </c>
      <c r="AI95" s="53">
        <f t="shared" si="15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4"/>
        <v>0</v>
      </c>
      <c r="AI96" s="53">
        <f t="shared" si="15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>
        <v>0</v>
      </c>
      <c r="AB97" s="67"/>
      <c r="AC97" s="67"/>
      <c r="AD97" s="67"/>
      <c r="AE97" s="67"/>
      <c r="AF97" s="67"/>
      <c r="AG97" s="95"/>
      <c r="AH97" s="52">
        <f t="shared" si="14"/>
        <v>0</v>
      </c>
      <c r="AI97" s="53">
        <f t="shared" si="15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:AF98" si="24">B82-B97</f>
        <v>428.6</v>
      </c>
      <c r="C98" s="67">
        <f t="shared" si="24"/>
        <v>489.4</v>
      </c>
      <c r="D98" s="67">
        <f t="shared" si="24"/>
        <v>475.2</v>
      </c>
      <c r="E98" s="67">
        <f t="shared" si="24"/>
        <v>536</v>
      </c>
      <c r="F98" s="67">
        <f t="shared" si="24"/>
        <v>530.9</v>
      </c>
      <c r="G98" s="67">
        <f t="shared" si="24"/>
        <v>523.09999999999991</v>
      </c>
      <c r="H98" s="67">
        <f t="shared" si="24"/>
        <v>535.1</v>
      </c>
      <c r="I98" s="67">
        <f t="shared" si="24"/>
        <v>513.9</v>
      </c>
      <c r="J98" s="67">
        <f t="shared" si="24"/>
        <v>554.79999999999995</v>
      </c>
      <c r="K98" s="67">
        <f t="shared" si="24"/>
        <v>519.4</v>
      </c>
      <c r="L98" s="67">
        <f t="shared" si="24"/>
        <v>518.4</v>
      </c>
      <c r="M98" s="67">
        <f t="shared" si="24"/>
        <v>538.79999999999995</v>
      </c>
      <c r="N98" s="67">
        <f t="shared" si="24"/>
        <v>549</v>
      </c>
      <c r="O98" s="67">
        <f t="shared" si="24"/>
        <v>574.1</v>
      </c>
      <c r="P98" s="67">
        <f t="shared" si="24"/>
        <v>563.09999999999991</v>
      </c>
      <c r="Q98" s="67">
        <f t="shared" si="24"/>
        <v>575.1</v>
      </c>
      <c r="R98" s="67">
        <f t="shared" si="24"/>
        <v>563</v>
      </c>
      <c r="S98" s="67">
        <f t="shared" si="24"/>
        <v>588.79999999999995</v>
      </c>
      <c r="T98" s="67">
        <f t="shared" ref="T98:V98" si="25">T82-T97</f>
        <v>594.6</v>
      </c>
      <c r="U98" s="67">
        <f t="shared" si="25"/>
        <v>574</v>
      </c>
      <c r="V98" s="67">
        <f t="shared" si="25"/>
        <v>597</v>
      </c>
      <c r="W98" s="67">
        <f t="shared" si="24"/>
        <v>569</v>
      </c>
      <c r="X98" s="67">
        <f t="shared" si="24"/>
        <v>545.5</v>
      </c>
      <c r="Y98" s="67">
        <f t="shared" si="24"/>
        <v>431.9</v>
      </c>
      <c r="Z98" s="67">
        <f t="shared" si="24"/>
        <v>420</v>
      </c>
      <c r="AA98" s="67">
        <v>435.4</v>
      </c>
      <c r="AB98" s="67">
        <f t="shared" si="24"/>
        <v>462.40000000000003</v>
      </c>
      <c r="AC98" s="67">
        <f t="shared" si="24"/>
        <v>470.40000000000003</v>
      </c>
      <c r="AD98" s="67">
        <f t="shared" si="24"/>
        <v>490.1</v>
      </c>
      <c r="AE98" s="67">
        <f t="shared" si="24"/>
        <v>570</v>
      </c>
      <c r="AF98" s="67">
        <f t="shared" si="24"/>
        <v>616</v>
      </c>
      <c r="AG98" s="95"/>
      <c r="AH98" s="52">
        <f t="shared" si="14"/>
        <v>616</v>
      </c>
      <c r="AI98" s="53">
        <f t="shared" si="15"/>
        <v>420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49.945999999999998</v>
      </c>
      <c r="C99" s="108">
        <v>49.99</v>
      </c>
      <c r="D99" s="108">
        <v>50</v>
      </c>
      <c r="E99" s="108">
        <v>50.012</v>
      </c>
      <c r="F99" s="108">
        <v>50.012</v>
      </c>
      <c r="G99" s="108">
        <v>49.996000000000002</v>
      </c>
      <c r="H99" s="108">
        <v>50.045999999999999</v>
      </c>
      <c r="I99" s="108">
        <v>50.04</v>
      </c>
      <c r="J99" s="108">
        <v>50.073</v>
      </c>
      <c r="K99" s="108">
        <v>49.959000000000003</v>
      </c>
      <c r="L99" s="108">
        <v>49.908999999999999</v>
      </c>
      <c r="M99" s="108">
        <v>50.018999999999998</v>
      </c>
      <c r="N99" s="108">
        <v>49.932000000000002</v>
      </c>
      <c r="O99" s="108">
        <v>50.045000000000002</v>
      </c>
      <c r="P99" s="108">
        <v>50.002000000000002</v>
      </c>
      <c r="Q99" s="108">
        <v>49.863</v>
      </c>
      <c r="R99" s="108">
        <v>49.863</v>
      </c>
      <c r="S99" s="108">
        <v>50.01</v>
      </c>
      <c r="T99" s="108">
        <v>49.97</v>
      </c>
      <c r="U99" s="108">
        <v>49.98</v>
      </c>
      <c r="V99" s="108">
        <v>50.01</v>
      </c>
      <c r="W99" s="108">
        <v>49.98</v>
      </c>
      <c r="X99" s="108">
        <v>50.08</v>
      </c>
      <c r="Y99" s="108">
        <v>49.96</v>
      </c>
      <c r="Z99" s="108">
        <v>50.06</v>
      </c>
      <c r="AA99" s="108">
        <v>49.92</v>
      </c>
      <c r="AB99" s="108">
        <v>49.994999999999997</v>
      </c>
      <c r="AC99" s="108">
        <v>49.994999999999997</v>
      </c>
      <c r="AD99" s="108">
        <v>50.031999999999996</v>
      </c>
      <c r="AE99" s="108">
        <v>49.98</v>
      </c>
      <c r="AF99" s="108">
        <v>50.021999999999998</v>
      </c>
      <c r="AG99" s="109"/>
      <c r="AH99" s="52">
        <f t="shared" si="14"/>
        <v>50.08</v>
      </c>
      <c r="AI99" s="53">
        <f t="shared" si="15"/>
        <v>49.863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127</v>
      </c>
      <c r="C100" s="72">
        <v>126.6</v>
      </c>
      <c r="D100" s="72">
        <v>127.8</v>
      </c>
      <c r="E100" s="72">
        <v>127.3</v>
      </c>
      <c r="F100" s="72">
        <v>127.3</v>
      </c>
      <c r="G100" s="72">
        <v>126.6</v>
      </c>
      <c r="H100" s="72">
        <v>127.8</v>
      </c>
      <c r="I100" s="72">
        <v>127.5</v>
      </c>
      <c r="J100" s="72">
        <v>126.1</v>
      </c>
      <c r="K100" s="72">
        <v>128.30000000000001</v>
      </c>
      <c r="L100" s="72">
        <v>126.1</v>
      </c>
      <c r="M100" s="72">
        <v>124.4</v>
      </c>
      <c r="N100" s="72">
        <v>127.6</v>
      </c>
      <c r="O100" s="72">
        <v>126.7</v>
      </c>
      <c r="P100" s="72">
        <v>125.5</v>
      </c>
      <c r="Q100" s="72">
        <v>125.1</v>
      </c>
      <c r="R100" s="72">
        <v>125.1</v>
      </c>
      <c r="S100" s="72">
        <v>126.1</v>
      </c>
      <c r="T100" s="72">
        <v>127.1</v>
      </c>
      <c r="U100" s="72">
        <v>126.4</v>
      </c>
      <c r="V100" s="72">
        <v>126.5</v>
      </c>
      <c r="W100" s="72">
        <v>128</v>
      </c>
      <c r="X100" s="72">
        <v>129.19999999999999</v>
      </c>
      <c r="Y100" s="72">
        <v>126.9</v>
      </c>
      <c r="Z100" s="72">
        <v>126.1</v>
      </c>
      <c r="AA100" s="72">
        <v>124.6</v>
      </c>
      <c r="AB100" s="72">
        <v>126.5</v>
      </c>
      <c r="AC100" s="72">
        <v>126.5</v>
      </c>
      <c r="AD100" s="72">
        <v>126.4</v>
      </c>
      <c r="AE100" s="72">
        <v>126.2</v>
      </c>
      <c r="AF100" s="72">
        <v>123.4</v>
      </c>
      <c r="AG100" s="111"/>
      <c r="AH100" s="52">
        <f t="shared" si="14"/>
        <v>129.19999999999999</v>
      </c>
      <c r="AI100" s="53">
        <f t="shared" si="15"/>
        <v>123.4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131.30000000000001</v>
      </c>
      <c r="C101" s="72">
        <v>131.4</v>
      </c>
      <c r="D101" s="72">
        <v>132.1</v>
      </c>
      <c r="E101" s="72">
        <v>131.4</v>
      </c>
      <c r="F101" s="72">
        <v>131.4</v>
      </c>
      <c r="G101" s="72">
        <v>130.6</v>
      </c>
      <c r="H101" s="72">
        <v>131.1</v>
      </c>
      <c r="I101" s="72">
        <v>130.30000000000001</v>
      </c>
      <c r="J101" s="72">
        <v>129.6</v>
      </c>
      <c r="K101" s="72">
        <v>130.69999999999999</v>
      </c>
      <c r="L101" s="72">
        <v>128.19999999999999</v>
      </c>
      <c r="M101" s="72">
        <v>126.9</v>
      </c>
      <c r="N101" s="72">
        <v>129.9</v>
      </c>
      <c r="O101" s="72">
        <v>128.4</v>
      </c>
      <c r="P101" s="72">
        <v>128.19999999999999</v>
      </c>
      <c r="Q101" s="72">
        <v>128.1</v>
      </c>
      <c r="R101" s="72">
        <v>128.1</v>
      </c>
      <c r="S101" s="72">
        <v>139</v>
      </c>
      <c r="T101" s="72">
        <v>129.4</v>
      </c>
      <c r="U101" s="72">
        <v>129.80000000000001</v>
      </c>
      <c r="V101" s="72">
        <v>130</v>
      </c>
      <c r="W101" s="72">
        <v>131.1</v>
      </c>
      <c r="X101" s="72">
        <v>132.19999999999999</v>
      </c>
      <c r="Y101" s="72">
        <v>129.69999999999999</v>
      </c>
      <c r="Z101" s="72">
        <v>129.1</v>
      </c>
      <c r="AA101" s="72">
        <v>128.1</v>
      </c>
      <c r="AB101" s="72">
        <v>129.9</v>
      </c>
      <c r="AC101" s="72">
        <v>129.9</v>
      </c>
      <c r="AD101" s="72">
        <v>130.5</v>
      </c>
      <c r="AE101" s="72">
        <v>130.69999999999999</v>
      </c>
      <c r="AF101" s="72">
        <v>128.9</v>
      </c>
      <c r="AG101" s="111"/>
      <c r="AH101" s="52">
        <f t="shared" si="14"/>
        <v>139</v>
      </c>
      <c r="AI101" s="53">
        <f t="shared" si="15"/>
        <v>126.9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129.80000000000001</v>
      </c>
      <c r="C102" s="72">
        <v>129.4</v>
      </c>
      <c r="D102" s="72">
        <v>132</v>
      </c>
      <c r="E102" s="72">
        <v>135.30000000000001</v>
      </c>
      <c r="F102" s="72">
        <v>135.30000000000001</v>
      </c>
      <c r="G102" s="72">
        <v>133.5</v>
      </c>
      <c r="H102" s="72">
        <v>132.5</v>
      </c>
      <c r="I102" s="72">
        <v>129.69999999999999</v>
      </c>
      <c r="J102" s="72">
        <v>127.9</v>
      </c>
      <c r="K102" s="72">
        <v>126.5</v>
      </c>
      <c r="L102" s="72">
        <v>129</v>
      </c>
      <c r="M102" s="72">
        <v>127.5</v>
      </c>
      <c r="N102" s="72">
        <v>127.3</v>
      </c>
      <c r="O102" s="72">
        <v>122.9</v>
      </c>
      <c r="P102" s="72">
        <v>121.5</v>
      </c>
      <c r="Q102" s="72">
        <v>125.9</v>
      </c>
      <c r="R102" s="72">
        <v>125.9</v>
      </c>
      <c r="S102" s="72">
        <v>122</v>
      </c>
      <c r="T102" s="72">
        <v>121</v>
      </c>
      <c r="U102" s="72">
        <v>123.2</v>
      </c>
      <c r="V102" s="72">
        <v>121.9</v>
      </c>
      <c r="W102" s="72">
        <v>128.4</v>
      </c>
      <c r="X102" s="72">
        <v>129.30000000000001</v>
      </c>
      <c r="Y102" s="72">
        <v>124.2</v>
      </c>
      <c r="Z102" s="72">
        <v>124.1</v>
      </c>
      <c r="AA102" s="72">
        <v>124.7</v>
      </c>
      <c r="AB102" s="72">
        <v>128.9</v>
      </c>
      <c r="AC102" s="72">
        <v>128.9</v>
      </c>
      <c r="AD102" s="72">
        <v>127.7</v>
      </c>
      <c r="AE102" s="72">
        <v>128.30000000000001</v>
      </c>
      <c r="AF102" s="72">
        <v>123.6</v>
      </c>
      <c r="AG102" s="111"/>
      <c r="AH102" s="52">
        <f t="shared" si="14"/>
        <v>135.30000000000001</v>
      </c>
      <c r="AI102" s="53">
        <f t="shared" si="15"/>
        <v>121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4"/>
        <v>0</v>
      </c>
      <c r="AI103" s="53">
        <f t="shared" si="15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130.9</v>
      </c>
      <c r="C104" s="113">
        <v>133</v>
      </c>
      <c r="D104" s="113">
        <v>132.6</v>
      </c>
      <c r="E104" s="113">
        <v>132</v>
      </c>
      <c r="F104" s="113">
        <v>132</v>
      </c>
      <c r="G104" s="113">
        <v>130.9</v>
      </c>
      <c r="H104" s="113">
        <v>131.9</v>
      </c>
      <c r="I104" s="113">
        <v>133.6</v>
      </c>
      <c r="J104" s="113">
        <v>134.1</v>
      </c>
      <c r="K104" s="113">
        <v>136.1</v>
      </c>
      <c r="L104" s="113">
        <v>134.5</v>
      </c>
      <c r="M104" s="113">
        <v>129.6</v>
      </c>
      <c r="N104" s="113">
        <v>132.5</v>
      </c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>
        <v>134.30000000000001</v>
      </c>
      <c r="Z104" s="113">
        <v>134.1</v>
      </c>
      <c r="AA104" s="113">
        <v>133.69999999999999</v>
      </c>
      <c r="AB104" s="113">
        <v>136.69999999999999</v>
      </c>
      <c r="AC104" s="113">
        <v>136.69999999999999</v>
      </c>
      <c r="AD104" s="113">
        <v>131.6</v>
      </c>
      <c r="AE104" s="113">
        <v>129.9</v>
      </c>
      <c r="AF104" s="113">
        <v>129.9</v>
      </c>
      <c r="AG104" s="114"/>
      <c r="AH104" s="52">
        <f t="shared" si="14"/>
        <v>136.69999999999999</v>
      </c>
      <c r="AI104" s="53">
        <f t="shared" si="15"/>
        <v>129.6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131.69999999999999</v>
      </c>
      <c r="C105" s="72">
        <v>131.4</v>
      </c>
      <c r="D105" s="72">
        <v>133.19999999999999</v>
      </c>
      <c r="E105" s="72">
        <v>134.4</v>
      </c>
      <c r="F105" s="72">
        <v>134.4</v>
      </c>
      <c r="G105" s="72">
        <v>133.69999999999999</v>
      </c>
      <c r="H105" s="72">
        <v>135.19999999999999</v>
      </c>
      <c r="I105" s="72">
        <v>136.9</v>
      </c>
      <c r="J105" s="72">
        <v>132</v>
      </c>
      <c r="K105" s="72">
        <v>130.5</v>
      </c>
      <c r="L105" s="72">
        <v>128</v>
      </c>
      <c r="M105" s="72">
        <v>127.2</v>
      </c>
      <c r="N105" s="72">
        <v>132.6</v>
      </c>
      <c r="O105" s="72">
        <v>129.1</v>
      </c>
      <c r="P105" s="72">
        <v>127.3</v>
      </c>
      <c r="Q105" s="72">
        <v>131.9</v>
      </c>
      <c r="R105" s="72">
        <v>131.9</v>
      </c>
      <c r="S105" s="72">
        <v>132</v>
      </c>
      <c r="T105" s="72">
        <v>131.80000000000001</v>
      </c>
      <c r="U105" s="72">
        <v>131.6</v>
      </c>
      <c r="V105" s="72">
        <v>130.1</v>
      </c>
      <c r="W105" s="72">
        <v>134.80000000000001</v>
      </c>
      <c r="X105" s="72">
        <v>135</v>
      </c>
      <c r="Y105" s="72">
        <v>130</v>
      </c>
      <c r="Z105" s="72">
        <v>130.5</v>
      </c>
      <c r="AA105" s="72">
        <v>129.19999999999999</v>
      </c>
      <c r="AB105" s="72">
        <v>129.6</v>
      </c>
      <c r="AC105" s="72">
        <v>129.6</v>
      </c>
      <c r="AD105" s="72">
        <v>129.1</v>
      </c>
      <c r="AE105" s="72">
        <v>130.19999999999999</v>
      </c>
      <c r="AF105" s="72">
        <v>131.4</v>
      </c>
      <c r="AG105" s="111"/>
      <c r="AH105" s="52">
        <f t="shared" si="14"/>
        <v>136.9</v>
      </c>
      <c r="AI105" s="53">
        <f t="shared" si="15"/>
        <v>127.2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65.900000000000006</v>
      </c>
      <c r="C106" s="99">
        <v>65.900000000000006</v>
      </c>
      <c r="D106" s="99">
        <v>66.400000000000006</v>
      </c>
      <c r="E106" s="99">
        <v>65.8</v>
      </c>
      <c r="F106" s="99">
        <v>65.8</v>
      </c>
      <c r="G106" s="99">
        <v>65.400000000000006</v>
      </c>
      <c r="H106" s="99">
        <v>65.5</v>
      </c>
      <c r="I106" s="99">
        <v>65.8</v>
      </c>
      <c r="J106" s="99">
        <v>65.3</v>
      </c>
      <c r="K106" s="99">
        <v>65.7</v>
      </c>
      <c r="L106" s="99">
        <v>64.599999999999994</v>
      </c>
      <c r="M106" s="99">
        <v>63.5</v>
      </c>
      <c r="N106" s="99">
        <v>65.2</v>
      </c>
      <c r="O106" s="99">
        <v>64.3</v>
      </c>
      <c r="P106" s="99">
        <v>64.099999999999994</v>
      </c>
      <c r="Q106" s="99">
        <v>64.400000000000006</v>
      </c>
      <c r="R106" s="99">
        <v>64.400000000000006</v>
      </c>
      <c r="S106" s="99">
        <v>65</v>
      </c>
      <c r="T106" s="99">
        <v>65.2</v>
      </c>
      <c r="U106" s="99">
        <v>65.099999999999994</v>
      </c>
      <c r="V106" s="99">
        <v>65</v>
      </c>
      <c r="W106" s="99">
        <v>65.5</v>
      </c>
      <c r="X106" s="99">
        <v>66.3</v>
      </c>
      <c r="Y106" s="99">
        <v>65</v>
      </c>
      <c r="Z106" s="99">
        <v>64.599999999999994</v>
      </c>
      <c r="AA106" s="99">
        <v>64.2</v>
      </c>
      <c r="AB106" s="99">
        <v>65.2</v>
      </c>
      <c r="AC106" s="99">
        <v>65.2</v>
      </c>
      <c r="AD106" s="99">
        <v>65.400000000000006</v>
      </c>
      <c r="AE106" s="99">
        <v>65.599999999999994</v>
      </c>
      <c r="AF106" s="99">
        <v>64.900000000000006</v>
      </c>
      <c r="AG106" s="115"/>
      <c r="AH106" s="52">
        <f t="shared" si="14"/>
        <v>66.400000000000006</v>
      </c>
      <c r="AI106" s="53">
        <f t="shared" si="15"/>
        <v>63.5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/>
      <c r="AA107" s="99" t="s">
        <v>115</v>
      </c>
      <c r="AB107" s="99"/>
      <c r="AC107" s="99"/>
      <c r="AD107" s="99"/>
      <c r="AE107" s="99"/>
      <c r="AF107" s="99"/>
      <c r="AG107" s="115"/>
      <c r="AH107" s="52">
        <f t="shared" si="14"/>
        <v>0</v>
      </c>
      <c r="AI107" s="53">
        <f t="shared" si="15"/>
        <v>0</v>
      </c>
    </row>
    <row r="108" spans="1:88" ht="15.75" thickBot="1" x14ac:dyDescent="0.3">
      <c r="A108" s="117" t="s">
        <v>116</v>
      </c>
      <c r="B108" s="118">
        <f t="shared" ref="B108:AF108" si="26">SUM(B18,B24,B27:B28,B56,B58:B59,B61,B63,B109:B113,B135,B141,B147,B156,B158,B170,B177,B180:B181,B188,B190,B192,B196:B198,B200:B202,B207,B213:B214,B216:B218,B226,B231)</f>
        <v>102.69999999999999</v>
      </c>
      <c r="C108" s="118">
        <f t="shared" si="26"/>
        <v>98.34</v>
      </c>
      <c r="D108" s="118">
        <f t="shared" si="26"/>
        <v>92.64</v>
      </c>
      <c r="E108" s="118">
        <f t="shared" si="26"/>
        <v>93.140000000000015</v>
      </c>
      <c r="F108" s="118">
        <f t="shared" si="26"/>
        <v>95.340000000000018</v>
      </c>
      <c r="G108" s="118">
        <f t="shared" si="26"/>
        <v>121.94</v>
      </c>
      <c r="H108" s="118">
        <f t="shared" si="26"/>
        <v>154.74</v>
      </c>
      <c r="I108" s="118">
        <f t="shared" si="26"/>
        <v>188.54000000000002</v>
      </c>
      <c r="J108" s="118">
        <f t="shared" si="26"/>
        <v>226.24</v>
      </c>
      <c r="K108" s="118">
        <f t="shared" si="26"/>
        <v>239.84000000000003</v>
      </c>
      <c r="L108" s="118">
        <f t="shared" si="26"/>
        <v>259.73999999999995</v>
      </c>
      <c r="M108" s="118">
        <f t="shared" si="26"/>
        <v>258.67</v>
      </c>
      <c r="N108" s="118">
        <f t="shared" si="26"/>
        <v>246.34</v>
      </c>
      <c r="O108" s="118">
        <f t="shared" si="26"/>
        <v>260.74</v>
      </c>
      <c r="P108" s="118">
        <v>42</v>
      </c>
      <c r="Q108" s="118">
        <f t="shared" si="26"/>
        <v>250.9</v>
      </c>
      <c r="R108" s="118">
        <f t="shared" si="26"/>
        <v>260.10000000000002</v>
      </c>
      <c r="S108" s="118">
        <f t="shared" si="26"/>
        <v>218</v>
      </c>
      <c r="T108" s="118">
        <f t="shared" ref="T108:V108" si="27">SUM(T18,T24,T27:T28,T56,T58:T59,T61,T63,T109:T113,T135,T141,T147,T156,T158,T170,T177,T180:T181,T188,T190,T192,T196:T198,T200:T202,T207,T213:T214,T216:T218,T226,T231)</f>
        <v>221.3</v>
      </c>
      <c r="U108" s="118">
        <f t="shared" si="27"/>
        <v>242</v>
      </c>
      <c r="V108" s="118">
        <f t="shared" si="27"/>
        <v>222.3</v>
      </c>
      <c r="W108" s="118">
        <f t="shared" si="26"/>
        <v>219.39999999999998</v>
      </c>
      <c r="X108" s="118">
        <f t="shared" si="26"/>
        <v>248.3</v>
      </c>
      <c r="Y108" s="118">
        <f t="shared" si="26"/>
        <v>270.7</v>
      </c>
      <c r="Z108" s="118">
        <f t="shared" si="26"/>
        <v>290.89999999999998</v>
      </c>
      <c r="AA108" s="118">
        <v>320.59708333333333</v>
      </c>
      <c r="AB108" s="118">
        <f t="shared" si="26"/>
        <v>285.60000000000002</v>
      </c>
      <c r="AC108" s="118">
        <f t="shared" si="26"/>
        <v>285.60000000000002</v>
      </c>
      <c r="AD108" s="118">
        <f t="shared" si="26"/>
        <v>232.39999999999998</v>
      </c>
      <c r="AE108" s="118">
        <f t="shared" si="26"/>
        <v>172</v>
      </c>
      <c r="AF108" s="118">
        <f t="shared" si="26"/>
        <v>128.80000000000001</v>
      </c>
      <c r="AG108" s="119"/>
      <c r="AH108" s="52">
        <f t="shared" si="14"/>
        <v>320.59708333333333</v>
      </c>
      <c r="AI108" s="53">
        <f t="shared" si="15"/>
        <v>42</v>
      </c>
    </row>
    <row r="109" spans="1:88" x14ac:dyDescent="0.25">
      <c r="A109" s="107" t="s">
        <v>117</v>
      </c>
      <c r="B109" s="120">
        <v>3</v>
      </c>
      <c r="C109" s="120">
        <v>1.6</v>
      </c>
      <c r="D109" s="120">
        <v>3.3</v>
      </c>
      <c r="E109" s="120">
        <v>-6.6</v>
      </c>
      <c r="F109" s="120">
        <v>-6.6</v>
      </c>
      <c r="G109" s="120">
        <v>-6.7</v>
      </c>
      <c r="H109" s="120">
        <v>-6.7</v>
      </c>
      <c r="I109" s="120">
        <v>1.5</v>
      </c>
      <c r="J109" s="120">
        <v>8</v>
      </c>
      <c r="K109" s="120">
        <v>20.7</v>
      </c>
      <c r="L109" s="120">
        <v>13.8</v>
      </c>
      <c r="M109" s="120">
        <v>8.3000000000000007</v>
      </c>
      <c r="N109" s="120">
        <v>17.3</v>
      </c>
      <c r="O109" s="120">
        <v>2.4</v>
      </c>
      <c r="P109" s="120">
        <v>7.5</v>
      </c>
      <c r="Q109" s="120">
        <v>7.1</v>
      </c>
      <c r="R109" s="120">
        <v>12.7</v>
      </c>
      <c r="S109" s="120">
        <v>7.5</v>
      </c>
      <c r="T109" s="120">
        <v>10.8</v>
      </c>
      <c r="U109" s="120">
        <v>16</v>
      </c>
      <c r="V109" s="120">
        <v>18</v>
      </c>
      <c r="W109" s="120">
        <v>12.5</v>
      </c>
      <c r="X109" s="120">
        <v>15.9</v>
      </c>
      <c r="Y109" s="120">
        <v>29.2</v>
      </c>
      <c r="Z109" s="120">
        <v>38.4</v>
      </c>
      <c r="AA109" s="120">
        <v>38.700000000000003</v>
      </c>
      <c r="AB109" s="120">
        <v>42.2</v>
      </c>
      <c r="AC109" s="120">
        <v>42.2</v>
      </c>
      <c r="AD109" s="120">
        <v>22.6</v>
      </c>
      <c r="AE109" s="120">
        <v>9.1999999999999993</v>
      </c>
      <c r="AF109" s="120">
        <v>-6.1</v>
      </c>
      <c r="AG109" s="121">
        <v>75</v>
      </c>
      <c r="AH109" s="52">
        <f t="shared" si="14"/>
        <v>42.2</v>
      </c>
      <c r="AI109" s="53">
        <f t="shared" si="15"/>
        <v>-6.7</v>
      </c>
    </row>
    <row r="110" spans="1:88" x14ac:dyDescent="0.25">
      <c r="A110" s="110" t="s">
        <v>118</v>
      </c>
      <c r="B110" s="122">
        <v>12.1</v>
      </c>
      <c r="C110" s="122">
        <v>10.9</v>
      </c>
      <c r="D110" s="122">
        <v>13</v>
      </c>
      <c r="E110" s="122">
        <v>0.7</v>
      </c>
      <c r="F110" s="122">
        <v>0.7</v>
      </c>
      <c r="G110" s="122">
        <v>-1.2</v>
      </c>
      <c r="H110" s="122">
        <v>-0.7</v>
      </c>
      <c r="I110" s="122">
        <v>1.2</v>
      </c>
      <c r="J110" s="122">
        <v>9.8000000000000007</v>
      </c>
      <c r="K110" s="122">
        <v>24.8</v>
      </c>
      <c r="L110" s="122">
        <v>17.2</v>
      </c>
      <c r="M110" s="122">
        <v>10.8</v>
      </c>
      <c r="N110" s="122">
        <v>24.3</v>
      </c>
      <c r="O110" s="122">
        <v>6.8</v>
      </c>
      <c r="P110" s="122">
        <v>19.899999999999999</v>
      </c>
      <c r="Q110" s="122">
        <v>19.399999999999999</v>
      </c>
      <c r="R110" s="122">
        <v>26</v>
      </c>
      <c r="S110" s="122">
        <v>19.600000000000001</v>
      </c>
      <c r="T110" s="122">
        <v>19.600000000000001</v>
      </c>
      <c r="U110" s="122">
        <v>26</v>
      </c>
      <c r="V110" s="122">
        <v>32.4</v>
      </c>
      <c r="W110" s="122">
        <v>17.8</v>
      </c>
      <c r="X110" s="122">
        <v>21</v>
      </c>
      <c r="Y110" s="122">
        <v>38</v>
      </c>
      <c r="Z110" s="122">
        <v>49.8</v>
      </c>
      <c r="AA110" s="122">
        <v>52</v>
      </c>
      <c r="AB110" s="122">
        <v>56.3</v>
      </c>
      <c r="AC110" s="122">
        <v>56.3</v>
      </c>
      <c r="AD110" s="122">
        <v>32.1</v>
      </c>
      <c r="AE110" s="122">
        <v>16.3</v>
      </c>
      <c r="AF110" s="122">
        <v>0</v>
      </c>
      <c r="AG110" s="121">
        <v>240</v>
      </c>
      <c r="AH110" s="52">
        <f t="shared" si="14"/>
        <v>56.3</v>
      </c>
      <c r="AI110" s="53">
        <f t="shared" si="15"/>
        <v>-1.2</v>
      </c>
    </row>
    <row r="111" spans="1:88" x14ac:dyDescent="0.25">
      <c r="A111" s="110" t="s">
        <v>119</v>
      </c>
      <c r="B111" s="122">
        <v>-70</v>
      </c>
      <c r="C111" s="122">
        <v>-82</v>
      </c>
      <c r="D111" s="122">
        <v>-75</v>
      </c>
      <c r="E111" s="122">
        <v>-68</v>
      </c>
      <c r="F111" s="122">
        <v>-68</v>
      </c>
      <c r="G111" s="122">
        <v>-60</v>
      </c>
      <c r="H111" s="122">
        <v>-34</v>
      </c>
      <c r="I111" s="122">
        <v>-13.1</v>
      </c>
      <c r="J111" s="122">
        <v>-7</v>
      </c>
      <c r="K111" s="122">
        <v>-2.7</v>
      </c>
      <c r="L111" s="122">
        <v>7</v>
      </c>
      <c r="M111" s="122">
        <v>10.23</v>
      </c>
      <c r="N111" s="122">
        <v>-2</v>
      </c>
      <c r="O111" s="122">
        <v>8.1</v>
      </c>
      <c r="P111" s="122">
        <v>-32</v>
      </c>
      <c r="Q111" s="122">
        <v>-23</v>
      </c>
      <c r="R111" s="122">
        <v>-26</v>
      </c>
      <c r="S111" s="122">
        <f>-45.9-14.4</f>
        <v>-60.3</v>
      </c>
      <c r="T111" s="122">
        <f t="shared" ref="T111:V111" si="28">-45.9-14.4</f>
        <v>-60.3</v>
      </c>
      <c r="U111" s="122">
        <f>-43-6</f>
        <v>-49</v>
      </c>
      <c r="V111" s="122">
        <f t="shared" si="28"/>
        <v>-60.3</v>
      </c>
      <c r="W111" s="122">
        <f>-34.6-3.7</f>
        <v>-38.300000000000004</v>
      </c>
      <c r="X111" s="122">
        <f>-26.2-2.8</f>
        <v>-29</v>
      </c>
      <c r="Y111" s="122">
        <f>-14+5.4</f>
        <v>-8.6</v>
      </c>
      <c r="Z111" s="122">
        <f>-15.3+2.2</f>
        <v>-13.100000000000001</v>
      </c>
      <c r="AA111" s="122">
        <v>-4.9000000000000004</v>
      </c>
      <c r="AB111" s="122">
        <v>-13</v>
      </c>
      <c r="AC111" s="122">
        <v>-13</v>
      </c>
      <c r="AD111" s="122">
        <v>-40</v>
      </c>
      <c r="AE111" s="122">
        <v>-54</v>
      </c>
      <c r="AF111" s="122">
        <v>-60</v>
      </c>
      <c r="AG111" s="121">
        <v>240</v>
      </c>
      <c r="AH111" s="52">
        <f t="shared" si="14"/>
        <v>10.23</v>
      </c>
      <c r="AI111" s="53">
        <f t="shared" si="15"/>
        <v>-82</v>
      </c>
    </row>
    <row r="112" spans="1:88" x14ac:dyDescent="0.25">
      <c r="A112" s="110" t="s">
        <v>120</v>
      </c>
      <c r="B112" s="122">
        <v>1.3</v>
      </c>
      <c r="C112" s="122">
        <v>3.3</v>
      </c>
      <c r="D112" s="122">
        <v>2</v>
      </c>
      <c r="E112" s="122">
        <v>-11.5</v>
      </c>
      <c r="F112" s="122">
        <v>-11.5</v>
      </c>
      <c r="G112" s="122">
        <v>9.6999999999999993</v>
      </c>
      <c r="H112" s="122">
        <v>4.5999999999999996</v>
      </c>
      <c r="I112" s="122">
        <v>1.2</v>
      </c>
      <c r="J112" s="122">
        <v>4.9000000000000004</v>
      </c>
      <c r="K112" s="122">
        <v>9.6</v>
      </c>
      <c r="L112" s="122">
        <v>8.1</v>
      </c>
      <c r="M112" s="122">
        <v>8.6</v>
      </c>
      <c r="N112" s="122">
        <v>20</v>
      </c>
      <c r="O112" s="122">
        <v>42.8</v>
      </c>
      <c r="P112" s="122">
        <v>41.7</v>
      </c>
      <c r="Q112" s="122">
        <v>40</v>
      </c>
      <c r="R112" s="122">
        <v>40</v>
      </c>
      <c r="S112" s="122">
        <v>37.200000000000003</v>
      </c>
      <c r="T112" s="122">
        <v>37.200000000000003</v>
      </c>
      <c r="U112" s="122">
        <v>35</v>
      </c>
      <c r="V112" s="122">
        <v>37.200000000000003</v>
      </c>
      <c r="W112" s="122">
        <v>42.9</v>
      </c>
      <c r="X112" s="122">
        <v>40.200000000000003</v>
      </c>
      <c r="Y112" s="122">
        <v>36.4</v>
      </c>
      <c r="Z112" s="122">
        <v>31.5</v>
      </c>
      <c r="AA112" s="122">
        <v>32.799999999999997</v>
      </c>
      <c r="AB112" s="122">
        <v>27.8</v>
      </c>
      <c r="AC112" s="122">
        <v>27.8</v>
      </c>
      <c r="AD112" s="122">
        <v>20.100000000000001</v>
      </c>
      <c r="AE112" s="122">
        <v>12.9</v>
      </c>
      <c r="AF112" s="122">
        <v>10.5</v>
      </c>
      <c r="AG112" s="121">
        <v>60</v>
      </c>
      <c r="AH112" s="52">
        <f t="shared" si="14"/>
        <v>42.9</v>
      </c>
      <c r="AI112" s="53">
        <f t="shared" si="15"/>
        <v>-11.5</v>
      </c>
    </row>
    <row r="113" spans="1:37" x14ac:dyDescent="0.25">
      <c r="A113" s="123" t="s">
        <v>121</v>
      </c>
      <c r="B113" s="124">
        <v>56.5</v>
      </c>
      <c r="C113" s="124">
        <v>61</v>
      </c>
      <c r="D113" s="124">
        <v>45.8</v>
      </c>
      <c r="E113" s="124">
        <v>74.900000000000006</v>
      </c>
      <c r="F113" s="124">
        <v>74.900000000000006</v>
      </c>
      <c r="G113" s="124">
        <v>73.8</v>
      </c>
      <c r="H113" s="124">
        <v>86.7</v>
      </c>
      <c r="I113" s="124">
        <v>92.2</v>
      </c>
      <c r="J113" s="124">
        <v>104.9</v>
      </c>
      <c r="K113" s="124">
        <v>83.2</v>
      </c>
      <c r="L113" s="124">
        <v>106.6</v>
      </c>
      <c r="M113" s="124">
        <v>112</v>
      </c>
      <c r="N113" s="124">
        <v>78</v>
      </c>
      <c r="O113" s="124">
        <v>75.8</v>
      </c>
      <c r="P113" s="124">
        <v>68</v>
      </c>
      <c r="Q113" s="124">
        <v>87.4</v>
      </c>
      <c r="R113" s="124">
        <v>87.4</v>
      </c>
      <c r="S113" s="124">
        <v>94</v>
      </c>
      <c r="T113" s="124">
        <v>94</v>
      </c>
      <c r="U113" s="124">
        <v>94</v>
      </c>
      <c r="V113" s="124">
        <v>84</v>
      </c>
      <c r="W113" s="124">
        <v>82.3</v>
      </c>
      <c r="X113" s="124">
        <v>98</v>
      </c>
      <c r="Y113" s="124">
        <v>73.8</v>
      </c>
      <c r="Z113" s="124">
        <v>82.4</v>
      </c>
      <c r="AA113" s="124">
        <v>32.700000000000003</v>
      </c>
      <c r="AB113" s="124">
        <v>70.8</v>
      </c>
      <c r="AC113" s="124">
        <v>70.8</v>
      </c>
      <c r="AD113" s="124">
        <v>97.4</v>
      </c>
      <c r="AE113" s="124">
        <v>87.4</v>
      </c>
      <c r="AF113" s="124">
        <v>84.2</v>
      </c>
      <c r="AG113" s="125">
        <v>120</v>
      </c>
      <c r="AH113" s="52">
        <f t="shared" si="14"/>
        <v>112</v>
      </c>
      <c r="AI113" s="53">
        <f t="shared" si="15"/>
        <v>32.700000000000003</v>
      </c>
    </row>
    <row r="114" spans="1:37" x14ac:dyDescent="0.25">
      <c r="A114" s="123" t="s">
        <v>122</v>
      </c>
      <c r="B114" s="124">
        <v>74</v>
      </c>
      <c r="C114" s="124">
        <v>89</v>
      </c>
      <c r="D114" s="124">
        <v>72</v>
      </c>
      <c r="E114" s="124">
        <v>98.6</v>
      </c>
      <c r="F114" s="124">
        <v>98.6</v>
      </c>
      <c r="G114" s="124">
        <v>100</v>
      </c>
      <c r="H114" s="124">
        <v>95</v>
      </c>
      <c r="I114" s="124">
        <v>87.6</v>
      </c>
      <c r="J114" s="124">
        <v>95.1</v>
      </c>
      <c r="K114" s="124">
        <v>33.5</v>
      </c>
      <c r="L114" s="124">
        <v>82.5</v>
      </c>
      <c r="M114" s="124">
        <v>85.1</v>
      </c>
      <c r="N114" s="124">
        <v>60.4</v>
      </c>
      <c r="O114" s="124">
        <v>60.4</v>
      </c>
      <c r="P114" s="124">
        <v>59.2</v>
      </c>
      <c r="Q114" s="124">
        <v>95.3</v>
      </c>
      <c r="R114" s="124">
        <v>95.3</v>
      </c>
      <c r="S114" s="124">
        <v>99.7</v>
      </c>
      <c r="T114" s="124">
        <v>99.7</v>
      </c>
      <c r="U114" s="124">
        <v>99.7</v>
      </c>
      <c r="V114" s="124">
        <v>86</v>
      </c>
      <c r="W114" s="124">
        <v>72.3</v>
      </c>
      <c r="X114" s="124">
        <v>77.8</v>
      </c>
      <c r="Y114" s="124">
        <v>87.5</v>
      </c>
      <c r="Z114" s="124">
        <v>86.1</v>
      </c>
      <c r="AA114" s="124">
        <v>96.7</v>
      </c>
      <c r="AB114" s="124">
        <v>84.6</v>
      </c>
      <c r="AC114" s="124">
        <v>84.6</v>
      </c>
      <c r="AD114" s="124">
        <v>91.3</v>
      </c>
      <c r="AE114" s="124">
        <v>94.4</v>
      </c>
      <c r="AF114" s="124">
        <v>93.2</v>
      </c>
      <c r="AG114" s="125"/>
      <c r="AH114" s="52">
        <f t="shared" si="14"/>
        <v>100</v>
      </c>
      <c r="AI114" s="53">
        <f t="shared" si="15"/>
        <v>33.5</v>
      </c>
    </row>
    <row r="115" spans="1:37" x14ac:dyDescent="0.25">
      <c r="A115" s="123" t="s">
        <v>123</v>
      </c>
      <c r="B115" s="124"/>
      <c r="C115" s="124">
        <v>60</v>
      </c>
      <c r="D115" s="124">
        <v>57.3</v>
      </c>
      <c r="E115" s="124">
        <v>60</v>
      </c>
      <c r="F115" s="124">
        <v>60</v>
      </c>
      <c r="G115" s="124">
        <v>59.6</v>
      </c>
      <c r="H115" s="124">
        <v>56.2</v>
      </c>
      <c r="I115" s="124">
        <v>51.5</v>
      </c>
      <c r="J115" s="124">
        <v>40.299999999999997</v>
      </c>
      <c r="K115" s="124">
        <v>33.5</v>
      </c>
      <c r="L115" s="124">
        <v>49.2</v>
      </c>
      <c r="M115" s="124">
        <v>57.5</v>
      </c>
      <c r="N115" s="124">
        <v>32.200000000000003</v>
      </c>
      <c r="O115" s="124">
        <v>43.7</v>
      </c>
      <c r="P115" s="124">
        <v>37.299999999999997</v>
      </c>
      <c r="Q115" s="124">
        <v>28.9</v>
      </c>
      <c r="R115" s="124">
        <v>28.9</v>
      </c>
      <c r="S115" s="124">
        <v>44.7</v>
      </c>
      <c r="T115" s="124">
        <v>44.7</v>
      </c>
      <c r="U115" s="124">
        <v>44.7</v>
      </c>
      <c r="V115" s="124">
        <v>44.7</v>
      </c>
      <c r="W115" s="124">
        <v>25.5</v>
      </c>
      <c r="X115" s="124">
        <v>19.5</v>
      </c>
      <c r="Y115" s="124">
        <v>2.8</v>
      </c>
      <c r="Z115" s="124">
        <v>8.1999999999999993</v>
      </c>
      <c r="AA115" s="124">
        <v>10.8</v>
      </c>
      <c r="AB115" s="124">
        <v>2.2999999999999998</v>
      </c>
      <c r="AC115" s="124">
        <v>2.2999999999999998</v>
      </c>
      <c r="AD115" s="124">
        <v>7.2</v>
      </c>
      <c r="AE115" s="124">
        <v>20.8</v>
      </c>
      <c r="AF115" s="124">
        <v>51.3</v>
      </c>
      <c r="AG115" s="126"/>
      <c r="AH115" s="52">
        <f t="shared" si="14"/>
        <v>60</v>
      </c>
      <c r="AI115" s="53">
        <f t="shared" si="15"/>
        <v>2.2999999999999998</v>
      </c>
    </row>
    <row r="116" spans="1:37" x14ac:dyDescent="0.25">
      <c r="A116" s="127" t="s">
        <v>124</v>
      </c>
      <c r="B116" s="113">
        <v>-10</v>
      </c>
      <c r="C116" s="113">
        <v>-7.5</v>
      </c>
      <c r="D116" s="113">
        <v>-8</v>
      </c>
      <c r="E116" s="113">
        <v>-4.7</v>
      </c>
      <c r="F116" s="113">
        <v>-4.7</v>
      </c>
      <c r="G116" s="113">
        <v>-6.8</v>
      </c>
      <c r="H116" s="113">
        <v>-9.1</v>
      </c>
      <c r="I116" s="113">
        <v>-15.6</v>
      </c>
      <c r="J116" s="113">
        <v>-21.5</v>
      </c>
      <c r="K116" s="113">
        <v>-25.4</v>
      </c>
      <c r="L116" s="113">
        <v>-22.2</v>
      </c>
      <c r="M116" s="113">
        <v>-20.399999999999999</v>
      </c>
      <c r="N116" s="113">
        <v>-20</v>
      </c>
      <c r="O116" s="113">
        <v>-17.2</v>
      </c>
      <c r="P116" s="113">
        <v>-20.5</v>
      </c>
      <c r="Q116" s="113">
        <v>-10.8</v>
      </c>
      <c r="R116" s="113">
        <v>-10.8</v>
      </c>
      <c r="S116" s="113">
        <v>-24.1</v>
      </c>
      <c r="T116" s="113">
        <v>-24.1</v>
      </c>
      <c r="U116" s="113">
        <v>-24.1</v>
      </c>
      <c r="V116" s="113">
        <v>-33.9</v>
      </c>
      <c r="W116" s="113">
        <v>-31.2</v>
      </c>
      <c r="X116" s="113">
        <v>-36</v>
      </c>
      <c r="Y116" s="113">
        <v>-36.9</v>
      </c>
      <c r="Z116" s="113">
        <v>-43.6</v>
      </c>
      <c r="AA116" s="113">
        <v>-34.5</v>
      </c>
      <c r="AB116" s="113">
        <v>-30.5</v>
      </c>
      <c r="AC116" s="113">
        <v>-30.5</v>
      </c>
      <c r="AD116" s="113">
        <v>-27.3</v>
      </c>
      <c r="AE116" s="113">
        <v>-25</v>
      </c>
      <c r="AF116" s="113">
        <v>-17.7</v>
      </c>
      <c r="AG116" s="126"/>
      <c r="AH116" s="52">
        <f t="shared" si="14"/>
        <v>-4.7</v>
      </c>
      <c r="AI116" s="53">
        <f t="shared" si="15"/>
        <v>-43.6</v>
      </c>
    </row>
    <row r="117" spans="1:37" ht="15.75" thickBot="1" x14ac:dyDescent="0.3">
      <c r="A117" s="127" t="s">
        <v>125</v>
      </c>
      <c r="B117" s="113">
        <v>102</v>
      </c>
      <c r="C117" s="113">
        <v>102</v>
      </c>
      <c r="D117" s="113">
        <v>97</v>
      </c>
      <c r="E117" s="113">
        <v>53</v>
      </c>
      <c r="F117" s="113">
        <v>53</v>
      </c>
      <c r="G117" s="113">
        <v>51.2</v>
      </c>
      <c r="H117" s="113">
        <v>51.9</v>
      </c>
      <c r="I117" s="113">
        <v>55.1</v>
      </c>
      <c r="J117" s="113">
        <v>55.9</v>
      </c>
      <c r="K117" s="113">
        <v>97.1</v>
      </c>
      <c r="L117" s="113">
        <v>100</v>
      </c>
      <c r="M117" s="113">
        <v>103</v>
      </c>
      <c r="N117" s="113">
        <v>106</v>
      </c>
      <c r="O117" s="113">
        <v>115.3</v>
      </c>
      <c r="P117" s="113">
        <v>116</v>
      </c>
      <c r="Q117" s="113">
        <v>102</v>
      </c>
      <c r="R117" s="113">
        <v>102</v>
      </c>
      <c r="S117" s="113">
        <v>112</v>
      </c>
      <c r="T117" s="113">
        <v>112</v>
      </c>
      <c r="U117" s="113">
        <v>112</v>
      </c>
      <c r="V117" s="113">
        <v>112</v>
      </c>
      <c r="W117" s="113">
        <v>97.5</v>
      </c>
      <c r="X117" s="113">
        <v>101</v>
      </c>
      <c r="Y117" s="113">
        <v>108.6</v>
      </c>
      <c r="Z117" s="113">
        <v>115.7</v>
      </c>
      <c r="AA117" s="113">
        <v>112.7</v>
      </c>
      <c r="AB117" s="113">
        <v>107.5</v>
      </c>
      <c r="AC117" s="113">
        <v>107.5</v>
      </c>
      <c r="AD117" s="113">
        <v>104</v>
      </c>
      <c r="AE117" s="113">
        <v>104.6</v>
      </c>
      <c r="AF117" s="113">
        <v>106</v>
      </c>
      <c r="AG117" s="126"/>
      <c r="AH117" s="52">
        <f t="shared" si="14"/>
        <v>116</v>
      </c>
      <c r="AI117" s="53">
        <f t="shared" si="15"/>
        <v>51.2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29">SUM(B119:B223)</f>
        <v>0</v>
      </c>
      <c r="C224" s="144">
        <f t="shared" si="29"/>
        <v>0</v>
      </c>
      <c r="D224" s="144">
        <f t="shared" si="29"/>
        <v>0</v>
      </c>
      <c r="E224" s="144">
        <f t="shared" si="29"/>
        <v>0</v>
      </c>
      <c r="F224" s="144">
        <f t="shared" si="29"/>
        <v>0</v>
      </c>
      <c r="G224" s="144">
        <f t="shared" si="29"/>
        <v>0</v>
      </c>
      <c r="H224" s="144">
        <f t="shared" si="29"/>
        <v>0</v>
      </c>
      <c r="I224" s="144">
        <f t="shared" si="29"/>
        <v>0</v>
      </c>
      <c r="J224" s="144">
        <f t="shared" si="29"/>
        <v>0</v>
      </c>
      <c r="K224" s="144">
        <f t="shared" si="29"/>
        <v>0</v>
      </c>
      <c r="L224" s="144">
        <f t="shared" si="29"/>
        <v>0</v>
      </c>
      <c r="M224" s="144">
        <f t="shared" si="29"/>
        <v>0</v>
      </c>
      <c r="N224" s="144">
        <f t="shared" si="29"/>
        <v>0</v>
      </c>
      <c r="O224" s="144">
        <f t="shared" si="29"/>
        <v>0</v>
      </c>
      <c r="P224" s="144">
        <f t="shared" si="29"/>
        <v>0</v>
      </c>
      <c r="Q224" s="144">
        <f t="shared" si="29"/>
        <v>0</v>
      </c>
      <c r="R224" s="144">
        <f t="shared" si="29"/>
        <v>0</v>
      </c>
      <c r="S224" s="144">
        <f t="shared" si="29"/>
        <v>0</v>
      </c>
      <c r="T224" s="144">
        <f t="shared" si="29"/>
        <v>0</v>
      </c>
      <c r="U224" s="144">
        <f t="shared" si="29"/>
        <v>0</v>
      </c>
      <c r="V224" s="144">
        <f t="shared" si="29"/>
        <v>0</v>
      </c>
      <c r="W224" s="144">
        <f t="shared" si="29"/>
        <v>0</v>
      </c>
      <c r="X224" s="144">
        <f t="shared" si="29"/>
        <v>0</v>
      </c>
      <c r="Y224" s="144">
        <f t="shared" si="29"/>
        <v>0</v>
      </c>
      <c r="Z224" s="144">
        <f t="shared" si="29"/>
        <v>0</v>
      </c>
      <c r="AA224" s="144">
        <f t="shared" si="29"/>
        <v>0</v>
      </c>
      <c r="AB224" s="144">
        <f t="shared" si="29"/>
        <v>0</v>
      </c>
      <c r="AC224" s="144">
        <f t="shared" si="29"/>
        <v>0</v>
      </c>
      <c r="AD224" s="144">
        <f t="shared" si="29"/>
        <v>0</v>
      </c>
      <c r="AE224" s="144">
        <f t="shared" si="29"/>
        <v>0</v>
      </c>
      <c r="AF224" s="145">
        <f t="shared" si="29"/>
        <v>0</v>
      </c>
      <c r="AG224" s="146">
        <f t="shared" si="29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30">AF226</f>
        <v>0</v>
      </c>
      <c r="C226" s="149">
        <v>0.3</v>
      </c>
      <c r="D226" s="149">
        <f t="shared" ref="D226:P231" si="31">C226</f>
        <v>0.3</v>
      </c>
      <c r="E226" s="149">
        <f t="shared" si="31"/>
        <v>0.3</v>
      </c>
      <c r="F226" s="149">
        <f t="shared" si="31"/>
        <v>0.3</v>
      </c>
      <c r="G226" s="149">
        <f t="shared" si="31"/>
        <v>0.3</v>
      </c>
      <c r="H226" s="149">
        <f t="shared" si="31"/>
        <v>0.3</v>
      </c>
      <c r="I226" s="149">
        <f t="shared" si="31"/>
        <v>0.3</v>
      </c>
      <c r="J226" s="149">
        <f t="shared" si="31"/>
        <v>0.3</v>
      </c>
      <c r="K226" s="149">
        <f t="shared" si="31"/>
        <v>0.3</v>
      </c>
      <c r="L226" s="149">
        <f t="shared" si="31"/>
        <v>0.3</v>
      </c>
      <c r="M226" s="149">
        <f t="shared" si="31"/>
        <v>0.3</v>
      </c>
      <c r="N226" s="149">
        <f t="shared" si="31"/>
        <v>0.3</v>
      </c>
      <c r="O226" s="149">
        <f t="shared" si="31"/>
        <v>0.3</v>
      </c>
      <c r="P226" s="149">
        <f t="shared" si="31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30"/>
        <v>0</v>
      </c>
      <c r="C227" s="136">
        <v>0.4</v>
      </c>
      <c r="D227" s="136">
        <f t="shared" si="31"/>
        <v>0.4</v>
      </c>
      <c r="E227" s="136">
        <f t="shared" si="31"/>
        <v>0.4</v>
      </c>
      <c r="F227" s="136">
        <f t="shared" si="31"/>
        <v>0.4</v>
      </c>
      <c r="G227" s="136">
        <f t="shared" si="31"/>
        <v>0.4</v>
      </c>
      <c r="H227" s="136">
        <f t="shared" si="31"/>
        <v>0.4</v>
      </c>
      <c r="I227" s="136">
        <f t="shared" si="31"/>
        <v>0.4</v>
      </c>
      <c r="J227" s="136">
        <f t="shared" si="31"/>
        <v>0.4</v>
      </c>
      <c r="K227" s="136">
        <f t="shared" si="31"/>
        <v>0.4</v>
      </c>
      <c r="L227" s="136">
        <f t="shared" si="31"/>
        <v>0.4</v>
      </c>
      <c r="M227" s="136">
        <f t="shared" si="31"/>
        <v>0.4</v>
      </c>
      <c r="N227" s="136">
        <f t="shared" si="31"/>
        <v>0.4</v>
      </c>
      <c r="O227" s="136">
        <f t="shared" si="31"/>
        <v>0.4</v>
      </c>
      <c r="P227" s="136">
        <f t="shared" si="31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30"/>
        <v>0</v>
      </c>
      <c r="C228" s="136">
        <v>1.5</v>
      </c>
      <c r="D228" s="136">
        <f t="shared" si="31"/>
        <v>1.5</v>
      </c>
      <c r="E228" s="136">
        <f t="shared" si="31"/>
        <v>1.5</v>
      </c>
      <c r="F228" s="136">
        <f t="shared" si="31"/>
        <v>1.5</v>
      </c>
      <c r="G228" s="136">
        <f t="shared" si="31"/>
        <v>1.5</v>
      </c>
      <c r="H228" s="136">
        <f t="shared" si="31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31"/>
        <v>1.5</v>
      </c>
      <c r="K228" s="136">
        <f t="shared" ca="1" si="31"/>
        <v>1.5</v>
      </c>
      <c r="L228" s="136">
        <f t="shared" ca="1" si="31"/>
        <v>1.5</v>
      </c>
      <c r="M228" s="136">
        <f t="shared" ca="1" si="31"/>
        <v>1.5</v>
      </c>
      <c r="N228" s="136">
        <f t="shared" ca="1" si="31"/>
        <v>1.5</v>
      </c>
      <c r="O228" s="136">
        <f t="shared" ca="1" si="31"/>
        <v>1.5</v>
      </c>
      <c r="P228" s="136">
        <f t="shared" ca="1" si="31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30"/>
        <v>0</v>
      </c>
      <c r="C229" s="136">
        <v>0.3</v>
      </c>
      <c r="D229" s="136">
        <f t="shared" si="31"/>
        <v>0.3</v>
      </c>
      <c r="E229" s="136">
        <f t="shared" si="31"/>
        <v>0.3</v>
      </c>
      <c r="F229" s="136">
        <f t="shared" si="31"/>
        <v>0.3</v>
      </c>
      <c r="G229" s="136">
        <f t="shared" si="31"/>
        <v>0.3</v>
      </c>
      <c r="H229" s="136">
        <f t="shared" si="31"/>
        <v>0.3</v>
      </c>
      <c r="I229" s="136">
        <f t="shared" si="31"/>
        <v>0.3</v>
      </c>
      <c r="J229" s="136">
        <f t="shared" si="31"/>
        <v>0.3</v>
      </c>
      <c r="K229" s="136">
        <f t="shared" si="31"/>
        <v>0.3</v>
      </c>
      <c r="L229" s="136">
        <f t="shared" si="31"/>
        <v>0.3</v>
      </c>
      <c r="M229" s="136">
        <f t="shared" si="31"/>
        <v>0.3</v>
      </c>
      <c r="N229" s="136">
        <f t="shared" si="31"/>
        <v>0.3</v>
      </c>
      <c r="O229" s="136">
        <f t="shared" si="31"/>
        <v>0.3</v>
      </c>
      <c r="P229" s="136">
        <f t="shared" si="31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30"/>
        <v>0</v>
      </c>
      <c r="C230" s="136">
        <v>0.4</v>
      </c>
      <c r="D230" s="136">
        <f t="shared" si="31"/>
        <v>0.4</v>
      </c>
      <c r="E230" s="136">
        <f t="shared" si="31"/>
        <v>0.4</v>
      </c>
      <c r="F230" s="136">
        <f t="shared" si="31"/>
        <v>0.4</v>
      </c>
      <c r="G230" s="136">
        <f t="shared" si="31"/>
        <v>0.4</v>
      </c>
      <c r="H230" s="136">
        <f t="shared" si="31"/>
        <v>0.4</v>
      </c>
      <c r="I230" s="136">
        <f t="shared" si="31"/>
        <v>0.4</v>
      </c>
      <c r="J230" s="136">
        <f t="shared" si="31"/>
        <v>0.4</v>
      </c>
      <c r="K230" s="136">
        <f t="shared" si="31"/>
        <v>0.4</v>
      </c>
      <c r="L230" s="136">
        <f t="shared" si="31"/>
        <v>0.4</v>
      </c>
      <c r="M230" s="136">
        <f t="shared" si="31"/>
        <v>0.4</v>
      </c>
      <c r="N230" s="136">
        <f t="shared" si="31"/>
        <v>0.4</v>
      </c>
      <c r="O230" s="136">
        <f t="shared" si="31"/>
        <v>0.4</v>
      </c>
      <c r="P230" s="136">
        <f t="shared" si="31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30"/>
        <v>0</v>
      </c>
      <c r="C231" s="140">
        <v>0.64</v>
      </c>
      <c r="D231" s="140">
        <f t="shared" si="31"/>
        <v>0.64</v>
      </c>
      <c r="E231" s="140">
        <f t="shared" si="31"/>
        <v>0.64</v>
      </c>
      <c r="F231" s="140">
        <f t="shared" si="31"/>
        <v>0.64</v>
      </c>
      <c r="G231" s="140">
        <f t="shared" si="31"/>
        <v>0.64</v>
      </c>
      <c r="H231" s="140">
        <f t="shared" si="31"/>
        <v>0.64</v>
      </c>
      <c r="I231" s="140">
        <f t="shared" si="31"/>
        <v>0.64</v>
      </c>
      <c r="J231" s="140">
        <f t="shared" si="31"/>
        <v>0.64</v>
      </c>
      <c r="K231" s="140">
        <f t="shared" si="31"/>
        <v>0.64</v>
      </c>
      <c r="L231" s="140">
        <f t="shared" si="31"/>
        <v>0.64</v>
      </c>
      <c r="M231" s="140">
        <f t="shared" si="31"/>
        <v>0.64</v>
      </c>
      <c r="N231" s="140">
        <f t="shared" si="31"/>
        <v>0.64</v>
      </c>
      <c r="O231" s="140">
        <f t="shared" si="31"/>
        <v>0.64</v>
      </c>
      <c r="P231" s="140">
        <f t="shared" si="31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32">SUM(B226:B231)</f>
        <v>0</v>
      </c>
      <c r="C232" s="144">
        <f t="shared" si="32"/>
        <v>3.54</v>
      </c>
      <c r="D232" s="144">
        <f t="shared" si="32"/>
        <v>3.54</v>
      </c>
      <c r="E232" s="144">
        <f t="shared" si="32"/>
        <v>3.54</v>
      </c>
      <c r="F232" s="144">
        <f t="shared" si="32"/>
        <v>3.54</v>
      </c>
      <c r="G232" s="144">
        <f t="shared" si="32"/>
        <v>3.54</v>
      </c>
      <c r="H232" s="144">
        <f t="shared" si="32"/>
        <v>3.54</v>
      </c>
      <c r="I232" s="144">
        <f t="shared" ca="1" si="32"/>
        <v>3.54</v>
      </c>
      <c r="J232" s="144">
        <f t="shared" ca="1" si="32"/>
        <v>3.54</v>
      </c>
      <c r="K232" s="144">
        <f t="shared" ca="1" si="32"/>
        <v>3.54</v>
      </c>
      <c r="L232" s="144">
        <f t="shared" ca="1" si="32"/>
        <v>3.54</v>
      </c>
      <c r="M232" s="144">
        <f t="shared" ca="1" si="32"/>
        <v>3.54</v>
      </c>
      <c r="N232" s="144">
        <f t="shared" ca="1" si="32"/>
        <v>3.54</v>
      </c>
      <c r="O232" s="144">
        <f t="shared" ca="1" si="32"/>
        <v>3.54</v>
      </c>
      <c r="P232" s="144">
        <f t="shared" ca="1" si="32"/>
        <v>3.54</v>
      </c>
      <c r="Q232" s="144">
        <f t="shared" si="32"/>
        <v>0</v>
      </c>
      <c r="R232" s="144">
        <f t="shared" si="32"/>
        <v>0</v>
      </c>
      <c r="S232" s="144">
        <f t="shared" si="32"/>
        <v>0</v>
      </c>
      <c r="T232" s="144">
        <f t="shared" si="32"/>
        <v>0</v>
      </c>
      <c r="U232" s="144">
        <f t="shared" si="32"/>
        <v>0</v>
      </c>
      <c r="V232" s="144">
        <f t="shared" si="32"/>
        <v>0</v>
      </c>
      <c r="W232" s="144">
        <f t="shared" si="32"/>
        <v>0</v>
      </c>
      <c r="X232" s="144">
        <f t="shared" si="32"/>
        <v>0</v>
      </c>
      <c r="Y232" s="144">
        <f t="shared" si="32"/>
        <v>0</v>
      </c>
      <c r="Z232" s="144">
        <f t="shared" si="32"/>
        <v>0</v>
      </c>
      <c r="AA232" s="144">
        <f t="shared" si="32"/>
        <v>0</v>
      </c>
      <c r="AB232" s="144">
        <f t="shared" si="32"/>
        <v>0</v>
      </c>
      <c r="AC232" s="144">
        <f t="shared" si="32"/>
        <v>0</v>
      </c>
      <c r="AD232" s="144">
        <f t="shared" si="32"/>
        <v>0</v>
      </c>
      <c r="AE232" s="144">
        <f t="shared" si="32"/>
        <v>0</v>
      </c>
      <c r="AF232" s="144">
        <f t="shared" si="32"/>
        <v>0</v>
      </c>
      <c r="AG232" s="154">
        <f t="shared" si="32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1441.7399999999998</v>
      </c>
      <c r="C241" s="170">
        <f>INDEX(G9:N9,1,MATCH(MAX(G89:N89),G89:N89,0))</f>
        <v>0.33333333333333331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24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2079/12/24)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2079/12/24)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33">B89</f>
        <v>1344.2400000000002</v>
      </c>
      <c r="U246" s="180">
        <f t="shared" si="33"/>
        <v>1339.8400000000001</v>
      </c>
      <c r="V246" s="180">
        <f t="shared" si="33"/>
        <v>1319.34</v>
      </c>
      <c r="W246" s="180">
        <f t="shared" si="33"/>
        <v>1304.44</v>
      </c>
      <c r="X246" s="180">
        <f t="shared" si="33"/>
        <v>1301.04</v>
      </c>
      <c r="Y246" s="180">
        <f t="shared" si="33"/>
        <v>1329.84</v>
      </c>
      <c r="Z246" s="180">
        <f t="shared" si="33"/>
        <v>1324.44</v>
      </c>
      <c r="AA246" s="180">
        <f t="shared" si="33"/>
        <v>1347.3400000000001</v>
      </c>
      <c r="AB246" s="180">
        <f t="shared" si="33"/>
        <v>1388.54</v>
      </c>
      <c r="AC246" s="180">
        <f t="shared" si="33"/>
        <v>1385.8400000000001</v>
      </c>
      <c r="AD246" s="180">
        <f t="shared" si="33"/>
        <v>1417.6399999999999</v>
      </c>
      <c r="AE246" s="180">
        <f t="shared" si="33"/>
        <v>1441.7399999999998</v>
      </c>
      <c r="AF246" s="180">
        <f t="shared" si="33"/>
        <v>1398.94</v>
      </c>
      <c r="AG246" s="180">
        <f t="shared" si="33"/>
        <v>1491.1399999999999</v>
      </c>
      <c r="AH246" s="180">
        <f t="shared" si="33"/>
        <v>1446.8399999999997</v>
      </c>
      <c r="AI246" s="180">
        <f t="shared" si="33"/>
        <v>1533.94</v>
      </c>
      <c r="AJ246" s="180">
        <f t="shared" si="33"/>
        <v>1552.94</v>
      </c>
      <c r="AK246" s="180">
        <f t="shared" si="33"/>
        <v>1562.4399999999998</v>
      </c>
      <c r="AL246" s="180">
        <f t="shared" si="33"/>
        <v>1580.2399999999998</v>
      </c>
      <c r="AM246" s="180">
        <f t="shared" si="33"/>
        <v>1567.6399999999999</v>
      </c>
      <c r="AN246" s="180">
        <f t="shared" si="33"/>
        <v>1580.1399999999999</v>
      </c>
      <c r="AO246" s="180">
        <f t="shared" si="33"/>
        <v>1421.7399999999998</v>
      </c>
      <c r="AP246" s="180">
        <f t="shared" si="33"/>
        <v>1555.9399999999998</v>
      </c>
      <c r="AQ246" s="180">
        <f t="shared" si="33"/>
        <v>1625.2399999999998</v>
      </c>
      <c r="AR246" s="180">
        <f t="shared" si="33"/>
        <v>1613.44</v>
      </c>
      <c r="AS246" s="180">
        <f t="shared" si="33"/>
        <v>1695.94</v>
      </c>
      <c r="AT246" s="180">
        <f t="shared" si="33"/>
        <v>1684.7400000000002</v>
      </c>
      <c r="AU246" s="180">
        <f t="shared" si="33"/>
        <v>1641.7400000000002</v>
      </c>
      <c r="AV246" s="180">
        <f t="shared" si="33"/>
        <v>1605.8400000000001</v>
      </c>
      <c r="AW246" s="180">
        <f t="shared" si="33"/>
        <v>1464.74</v>
      </c>
      <c r="AX246" s="180">
        <f t="shared" si="33"/>
        <v>1441.24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34">C231</f>
        <v>0.64</v>
      </c>
      <c r="C267" s="183">
        <f t="shared" si="34"/>
        <v>0.64</v>
      </c>
      <c r="D267" s="183">
        <f t="shared" si="34"/>
        <v>0.64</v>
      </c>
      <c r="E267" s="183">
        <f t="shared" si="34"/>
        <v>0.64</v>
      </c>
      <c r="F267" s="183">
        <f t="shared" si="34"/>
        <v>0.64</v>
      </c>
      <c r="G267" s="183">
        <f t="shared" si="34"/>
        <v>0.64</v>
      </c>
      <c r="H267" s="183">
        <f t="shared" si="34"/>
        <v>0.64</v>
      </c>
      <c r="I267" s="183">
        <f t="shared" si="34"/>
        <v>0.64</v>
      </c>
      <c r="J267" s="183">
        <f t="shared" si="34"/>
        <v>0.64</v>
      </c>
      <c r="K267" s="183">
        <f t="shared" si="34"/>
        <v>0.64</v>
      </c>
      <c r="L267" s="183">
        <f t="shared" si="34"/>
        <v>0.64</v>
      </c>
      <c r="M267" s="183">
        <f t="shared" si="34"/>
        <v>0.64</v>
      </c>
      <c r="N267" s="183">
        <f t="shared" si="34"/>
        <v>0.64</v>
      </c>
      <c r="O267" s="183">
        <f t="shared" si="34"/>
        <v>0.64</v>
      </c>
      <c r="P267" s="183">
        <f t="shared" si="34"/>
        <v>0</v>
      </c>
      <c r="Q267" s="183">
        <f t="shared" si="34"/>
        <v>0</v>
      </c>
      <c r="R267" s="183">
        <f t="shared" si="34"/>
        <v>0</v>
      </c>
      <c r="S267" s="183">
        <f t="shared" si="34"/>
        <v>0</v>
      </c>
      <c r="T267" s="183">
        <f t="shared" si="34"/>
        <v>0</v>
      </c>
      <c r="U267" s="183">
        <f t="shared" si="34"/>
        <v>0</v>
      </c>
      <c r="V267" s="183">
        <f t="shared" si="34"/>
        <v>0</v>
      </c>
      <c r="W267" s="183">
        <f t="shared" si="34"/>
        <v>0</v>
      </c>
      <c r="X267" s="183">
        <f t="shared" si="34"/>
        <v>0</v>
      </c>
      <c r="Y267" s="183">
        <f t="shared" si="34"/>
        <v>0</v>
      </c>
      <c r="Z267" s="183">
        <f t="shared" si="34"/>
        <v>0</v>
      </c>
      <c r="AA267" s="183">
        <f t="shared" si="34"/>
        <v>0</v>
      </c>
      <c r="AB267" s="183">
        <f t="shared" si="34"/>
        <v>0</v>
      </c>
      <c r="AC267" s="183">
        <f t="shared" si="34"/>
        <v>0</v>
      </c>
      <c r="AD267" s="183">
        <f t="shared" si="34"/>
        <v>0</v>
      </c>
      <c r="AE267" s="183">
        <f t="shared" si="34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35">IF(B235&lt;100,"",B235-520)</f>
        <v/>
      </c>
      <c r="C268" s="184" t="str">
        <f t="shared" si="35"/>
        <v/>
      </c>
      <c r="D268" s="184" t="str">
        <f t="shared" si="35"/>
        <v/>
      </c>
      <c r="E268" s="184" t="str">
        <f t="shared" si="35"/>
        <v/>
      </c>
      <c r="F268" s="184" t="str">
        <f t="shared" si="35"/>
        <v/>
      </c>
      <c r="G268" s="184" t="str">
        <f t="shared" si="35"/>
        <v/>
      </c>
      <c r="H268" s="184" t="str">
        <f t="shared" si="35"/>
        <v/>
      </c>
      <c r="I268" s="184" t="str">
        <f t="shared" si="35"/>
        <v/>
      </c>
      <c r="J268" s="184" t="str">
        <f t="shared" si="35"/>
        <v/>
      </c>
      <c r="K268" s="184" t="str">
        <f t="shared" si="35"/>
        <v/>
      </c>
      <c r="L268" s="184" t="str">
        <f t="shared" si="35"/>
        <v/>
      </c>
      <c r="M268" s="184" t="str">
        <f t="shared" si="35"/>
        <v/>
      </c>
      <c r="N268" s="184" t="str">
        <f t="shared" si="35"/>
        <v/>
      </c>
      <c r="O268" s="184" t="str">
        <f t="shared" si="35"/>
        <v/>
      </c>
      <c r="P268" s="184" t="str">
        <f t="shared" si="35"/>
        <v/>
      </c>
      <c r="Q268" s="184" t="str">
        <f t="shared" si="35"/>
        <v/>
      </c>
      <c r="R268" s="184" t="str">
        <f t="shared" si="35"/>
        <v/>
      </c>
      <c r="S268" s="184" t="str">
        <f t="shared" si="35"/>
        <v/>
      </c>
      <c r="T268" s="184" t="str">
        <f t="shared" si="35"/>
        <v/>
      </c>
      <c r="U268" s="184" t="str">
        <f t="shared" si="35"/>
        <v/>
      </c>
      <c r="V268" s="184" t="str">
        <f t="shared" si="35"/>
        <v/>
      </c>
      <c r="W268" s="184" t="str">
        <f t="shared" si="35"/>
        <v/>
      </c>
      <c r="X268" s="184" t="str">
        <f t="shared" si="35"/>
        <v/>
      </c>
      <c r="Y268" s="184" t="str">
        <f t="shared" si="35"/>
        <v/>
      </c>
      <c r="Z268" s="184" t="str">
        <f t="shared" si="35"/>
        <v/>
      </c>
      <c r="AA268" s="184" t="str">
        <f t="shared" si="35"/>
        <v/>
      </c>
      <c r="AB268" s="184" t="str">
        <f t="shared" si="35"/>
        <v/>
      </c>
      <c r="AC268" s="184" t="str">
        <f t="shared" si="35"/>
        <v/>
      </c>
      <c r="AD268" s="184" t="str">
        <f t="shared" si="35"/>
        <v/>
      </c>
      <c r="AE268" s="184" t="str">
        <f t="shared" si="35"/>
        <v/>
      </c>
      <c r="AF268" s="184" t="str">
        <f t="shared" si="35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36">IF(B236&lt;100,"",B236-620)</f>
        <v/>
      </c>
      <c r="C269" s="184" t="str">
        <f t="shared" si="36"/>
        <v/>
      </c>
      <c r="D269" s="184" t="str">
        <f t="shared" si="36"/>
        <v/>
      </c>
      <c r="E269" s="184" t="str">
        <f t="shared" si="36"/>
        <v/>
      </c>
      <c r="F269" s="184" t="str">
        <f t="shared" si="36"/>
        <v/>
      </c>
      <c r="G269" s="184" t="str">
        <f t="shared" si="36"/>
        <v/>
      </c>
      <c r="H269" s="184" t="str">
        <f t="shared" si="36"/>
        <v/>
      </c>
      <c r="I269" s="184" t="str">
        <f t="shared" si="36"/>
        <v/>
      </c>
      <c r="J269" s="184" t="str">
        <f t="shared" si="36"/>
        <v/>
      </c>
      <c r="K269" s="184" t="str">
        <f t="shared" si="36"/>
        <v/>
      </c>
      <c r="L269" s="184" t="str">
        <f t="shared" si="36"/>
        <v/>
      </c>
      <c r="M269" s="184" t="str">
        <f t="shared" si="36"/>
        <v/>
      </c>
      <c r="N269" s="184" t="str">
        <f t="shared" si="36"/>
        <v/>
      </c>
      <c r="O269" s="184" t="str">
        <f t="shared" si="36"/>
        <v/>
      </c>
      <c r="P269" s="184" t="str">
        <f t="shared" si="36"/>
        <v/>
      </c>
      <c r="Q269" s="184" t="str">
        <f t="shared" si="36"/>
        <v/>
      </c>
      <c r="R269" s="184" t="str">
        <f t="shared" si="36"/>
        <v/>
      </c>
      <c r="S269" s="184" t="str">
        <f t="shared" si="36"/>
        <v/>
      </c>
      <c r="T269" s="184" t="str">
        <f t="shared" si="36"/>
        <v/>
      </c>
      <c r="U269" s="184" t="str">
        <f t="shared" si="36"/>
        <v/>
      </c>
      <c r="V269" s="184" t="str">
        <f t="shared" si="36"/>
        <v/>
      </c>
      <c r="W269" s="184" t="str">
        <f t="shared" si="36"/>
        <v/>
      </c>
      <c r="X269" s="184" t="str">
        <f t="shared" si="36"/>
        <v/>
      </c>
      <c r="Y269" s="184" t="str">
        <f t="shared" si="36"/>
        <v/>
      </c>
      <c r="Z269" s="184" t="str">
        <f t="shared" si="36"/>
        <v/>
      </c>
      <c r="AA269" s="184" t="str">
        <f t="shared" si="36"/>
        <v/>
      </c>
      <c r="AB269" s="184" t="str">
        <f t="shared" si="36"/>
        <v/>
      </c>
      <c r="AC269" s="184" t="str">
        <f t="shared" si="36"/>
        <v/>
      </c>
      <c r="AD269" s="184" t="str">
        <f t="shared" si="36"/>
        <v/>
      </c>
      <c r="AE269" s="184" t="str">
        <f t="shared" si="36"/>
        <v/>
      </c>
      <c r="AF269" s="184" t="str">
        <f t="shared" si="36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37">IF(B237&lt;100,"",B237-330)</f>
        <v/>
      </c>
      <c r="C270" s="184" t="str">
        <f t="shared" si="37"/>
        <v/>
      </c>
      <c r="D270" s="184" t="str">
        <f t="shared" si="37"/>
        <v/>
      </c>
      <c r="E270" s="184" t="str">
        <f t="shared" si="37"/>
        <v/>
      </c>
      <c r="F270" s="184" t="str">
        <f t="shared" si="37"/>
        <v/>
      </c>
      <c r="G270" s="184" t="str">
        <f t="shared" si="37"/>
        <v/>
      </c>
      <c r="H270" s="184" t="str">
        <f t="shared" si="37"/>
        <v/>
      </c>
      <c r="I270" s="184" t="str">
        <f t="shared" si="37"/>
        <v/>
      </c>
      <c r="J270" s="184" t="str">
        <f t="shared" si="37"/>
        <v/>
      </c>
      <c r="K270" s="184" t="str">
        <f t="shared" si="37"/>
        <v/>
      </c>
      <c r="L270" s="184" t="str">
        <f t="shared" si="37"/>
        <v/>
      </c>
      <c r="M270" s="184" t="str">
        <f t="shared" si="37"/>
        <v/>
      </c>
      <c r="N270" s="184" t="str">
        <f t="shared" si="37"/>
        <v/>
      </c>
      <c r="O270" s="184" t="str">
        <f t="shared" si="37"/>
        <v/>
      </c>
      <c r="P270" s="184" t="str">
        <f t="shared" si="37"/>
        <v/>
      </c>
      <c r="Q270" s="184" t="str">
        <f t="shared" si="37"/>
        <v/>
      </c>
      <c r="R270" s="184" t="str">
        <f t="shared" si="37"/>
        <v/>
      </c>
      <c r="S270" s="184" t="str">
        <f t="shared" si="37"/>
        <v/>
      </c>
      <c r="T270" s="184" t="str">
        <f t="shared" si="37"/>
        <v/>
      </c>
      <c r="U270" s="184" t="str">
        <f t="shared" si="37"/>
        <v/>
      </c>
      <c r="V270" s="184" t="str">
        <f t="shared" si="37"/>
        <v/>
      </c>
      <c r="W270" s="184" t="str">
        <f t="shared" si="37"/>
        <v/>
      </c>
      <c r="X270" s="184" t="str">
        <f t="shared" si="37"/>
        <v/>
      </c>
      <c r="Y270" s="184" t="str">
        <f t="shared" si="37"/>
        <v/>
      </c>
      <c r="Z270" s="184" t="str">
        <f t="shared" si="37"/>
        <v/>
      </c>
      <c r="AA270" s="184" t="str">
        <f t="shared" si="37"/>
        <v/>
      </c>
      <c r="AB270" s="184" t="str">
        <f t="shared" si="37"/>
        <v/>
      </c>
      <c r="AC270" s="184" t="str">
        <f t="shared" si="37"/>
        <v/>
      </c>
      <c r="AD270" s="184" t="str">
        <f t="shared" si="37"/>
        <v/>
      </c>
      <c r="AE270" s="184" t="str">
        <f t="shared" si="37"/>
        <v/>
      </c>
      <c r="AF270" s="184" t="str">
        <f t="shared" si="37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38">IF(B238&lt;100,"",B238-1500)</f>
        <v/>
      </c>
      <c r="C271" s="184" t="str">
        <f t="shared" si="38"/>
        <v/>
      </c>
      <c r="D271" s="184" t="str">
        <f t="shared" si="38"/>
        <v/>
      </c>
      <c r="E271" s="184" t="str">
        <f t="shared" si="38"/>
        <v/>
      </c>
      <c r="F271" s="184" t="str">
        <f t="shared" si="38"/>
        <v/>
      </c>
      <c r="G271" s="184" t="str">
        <f t="shared" si="38"/>
        <v/>
      </c>
      <c r="H271" s="184" t="str">
        <f t="shared" si="38"/>
        <v/>
      </c>
      <c r="I271" s="184" t="str">
        <f t="shared" si="38"/>
        <v/>
      </c>
      <c r="J271" s="184" t="str">
        <f t="shared" si="38"/>
        <v/>
      </c>
      <c r="K271" s="184" t="str">
        <f t="shared" si="38"/>
        <v/>
      </c>
      <c r="L271" s="184" t="str">
        <f t="shared" si="38"/>
        <v/>
      </c>
      <c r="M271" s="184" t="str">
        <f t="shared" si="38"/>
        <v/>
      </c>
      <c r="N271" s="184" t="str">
        <f t="shared" si="38"/>
        <v/>
      </c>
      <c r="O271" s="184" t="str">
        <f t="shared" si="38"/>
        <v/>
      </c>
      <c r="P271" s="184" t="str">
        <f t="shared" si="38"/>
        <v/>
      </c>
      <c r="Q271" s="184" t="str">
        <f t="shared" si="38"/>
        <v/>
      </c>
      <c r="R271" s="184" t="str">
        <f t="shared" si="38"/>
        <v/>
      </c>
      <c r="S271" s="184" t="str">
        <f t="shared" si="38"/>
        <v/>
      </c>
      <c r="T271" s="184" t="str">
        <f t="shared" si="38"/>
        <v/>
      </c>
      <c r="U271" s="184" t="str">
        <f t="shared" si="38"/>
        <v/>
      </c>
      <c r="V271" s="184" t="str">
        <f t="shared" si="38"/>
        <v/>
      </c>
      <c r="W271" s="184" t="str">
        <f t="shared" si="38"/>
        <v/>
      </c>
      <c r="X271" s="184" t="str">
        <f t="shared" si="38"/>
        <v/>
      </c>
      <c r="Y271" s="184" t="str">
        <f t="shared" si="38"/>
        <v/>
      </c>
      <c r="Z271" s="184" t="str">
        <f t="shared" si="38"/>
        <v/>
      </c>
      <c r="AA271" s="184" t="str">
        <f t="shared" si="38"/>
        <v/>
      </c>
      <c r="AB271" s="184" t="str">
        <f t="shared" si="38"/>
        <v/>
      </c>
      <c r="AC271" s="184" t="str">
        <f t="shared" si="38"/>
        <v/>
      </c>
      <c r="AD271" s="184" t="str">
        <f t="shared" si="38"/>
        <v/>
      </c>
      <c r="AE271" s="184" t="str">
        <f t="shared" si="38"/>
        <v/>
      </c>
      <c r="AF271" s="184" t="str">
        <f t="shared" si="38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1795" priority="339">
      <formula>B$9&gt;=20/24</formula>
    </cfRule>
    <cfRule type="expression" dxfId="1794" priority="340">
      <formula>AND(B$9&gt;=14/24,B$9&lt;20/24)</formula>
    </cfRule>
    <cfRule type="expression" dxfId="1793" priority="341">
      <formula>AND(B$9&gt;=8/24,B$9&lt;14/24)</formula>
    </cfRule>
    <cfRule type="expression" dxfId="1792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791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1790" priority="336">
      <formula>$AH12=0</formula>
    </cfRule>
  </conditionalFormatting>
  <conditionalFormatting sqref="A114">
    <cfRule type="expression" dxfId="1789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788" priority="333">
      <formula>$AH45=0</formula>
    </cfRule>
  </conditionalFormatting>
  <conditionalFormatting sqref="A98">
    <cfRule type="expression" dxfId="1787" priority="332">
      <formula>$AH98=0</formula>
    </cfRule>
  </conditionalFormatting>
  <conditionalFormatting sqref="A18">
    <cfRule type="expression" dxfId="1786" priority="331">
      <formula>$AH18=0</formula>
    </cfRule>
  </conditionalFormatting>
  <conditionalFormatting sqref="A196:A201">
    <cfRule type="expression" dxfId="1785" priority="330">
      <formula>$AH196=0</formula>
    </cfRule>
  </conditionalFormatting>
  <conditionalFormatting sqref="A190:A195">
    <cfRule type="expression" dxfId="1784" priority="329">
      <formula>$AH190=0</formula>
    </cfRule>
  </conditionalFormatting>
  <conditionalFormatting sqref="A58">
    <cfRule type="expression" dxfId="1783" priority="328">
      <formula>$AH58=0</formula>
    </cfRule>
  </conditionalFormatting>
  <conditionalFormatting sqref="A94">
    <cfRule type="expression" dxfId="1782" priority="327">
      <formula>$AH94=0</formula>
    </cfRule>
  </conditionalFormatting>
  <conditionalFormatting sqref="AF99 E99:X99">
    <cfRule type="expression" dxfId="1781" priority="323">
      <formula>E$9&gt;=20/24</formula>
    </cfRule>
    <cfRule type="expression" dxfId="1780" priority="324">
      <formula>AND(E$9&gt;=14/24,E$9&lt;20/24)</formula>
    </cfRule>
    <cfRule type="expression" dxfId="1779" priority="325">
      <formula>AND(E$9&gt;=8/24,E$9&lt;14/24)</formula>
    </cfRule>
    <cfRule type="expression" dxfId="1778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777" priority="345">
      <formula>C$9&gt;=20/24</formula>
    </cfRule>
    <cfRule type="expression" dxfId="1776" priority="346">
      <formula>AND(C$9&gt;=14/24,C$9&lt;20/24)</formula>
    </cfRule>
    <cfRule type="expression" dxfId="1775" priority="347">
      <formula>AND(C$9&gt;=8/24,C$9&lt;14/24)</formula>
    </cfRule>
    <cfRule type="expression" dxfId="1774" priority="348">
      <formula>C$9&lt;8/24</formula>
    </cfRule>
  </conditionalFormatting>
  <conditionalFormatting sqref="A233">
    <cfRule type="expression" dxfId="1773" priority="349">
      <formula>$AH233=0</formula>
    </cfRule>
  </conditionalFormatting>
  <conditionalFormatting sqref="AG245">
    <cfRule type="expression" dxfId="1772" priority="350">
      <formula>B$9&gt;=20/24</formula>
    </cfRule>
    <cfRule type="expression" dxfId="1771" priority="351">
      <formula>AND(B$9&gt;=14/24,B$9&lt;20/24)</formula>
    </cfRule>
    <cfRule type="expression" dxfId="1770" priority="352">
      <formula>AND(B$9&gt;=8/24,B$9&lt;14/24)</formula>
    </cfRule>
    <cfRule type="expression" dxfId="1769" priority="353">
      <formula>B$9&lt;8/24</formula>
    </cfRule>
  </conditionalFormatting>
  <conditionalFormatting sqref="S8">
    <cfRule type="expression" dxfId="1768" priority="318">
      <formula>U$9&gt;=20/24</formula>
    </cfRule>
    <cfRule type="expression" dxfId="1767" priority="319">
      <formula>AND(U$9&gt;=14/24,U$9&lt;20/24)</formula>
    </cfRule>
    <cfRule type="expression" dxfId="1766" priority="320">
      <formula>AND(U$9&gt;=8/24,U$9&lt;14/24)</formula>
    </cfRule>
    <cfRule type="expression" dxfId="1765" priority="321">
      <formula>U$9&lt;8/24</formula>
    </cfRule>
  </conditionalFormatting>
  <conditionalFormatting sqref="AB8">
    <cfRule type="expression" dxfId="1764" priority="314">
      <formula>AD$9&gt;=20/24</formula>
    </cfRule>
    <cfRule type="expression" dxfId="1763" priority="315">
      <formula>AND(AD$9&gt;=14/24,AD$9&lt;20/24)</formula>
    </cfRule>
    <cfRule type="expression" dxfId="1762" priority="316">
      <formula>AND(AD$9&gt;=8/24,AD$9&lt;14/24)</formula>
    </cfRule>
    <cfRule type="expression" dxfId="1761" priority="317">
      <formula>AD$9&lt;8/24</formula>
    </cfRule>
  </conditionalFormatting>
  <conditionalFormatting sqref="AH245:AX245">
    <cfRule type="expression" dxfId="1760" priority="354">
      <formula>AG$9&gt;=20/24</formula>
    </cfRule>
    <cfRule type="expression" dxfId="1759" priority="355">
      <formula>AND(AG$9&gt;=14/24,AG$9&lt;20/24)</formula>
    </cfRule>
    <cfRule type="expression" dxfId="1758" priority="356">
      <formula>AND(AG$9&gt;=8/24,AG$9&lt;14/24)</formula>
    </cfRule>
    <cfRule type="expression" dxfId="1757" priority="357">
      <formula>AG$9&lt;8/24</formula>
    </cfRule>
  </conditionalFormatting>
  <conditionalFormatting sqref="T245">
    <cfRule type="expression" dxfId="1756" priority="358">
      <formula>AX$9&gt;=20/24</formula>
    </cfRule>
    <cfRule type="expression" dxfId="1755" priority="359">
      <formula>AND(AX$9&gt;=14/24,AX$9&lt;20/24)</formula>
    </cfRule>
    <cfRule type="expression" dxfId="1754" priority="360">
      <formula>AND(AX$9&gt;=8/24,AX$9&lt;14/24)</formula>
    </cfRule>
    <cfRule type="expression" dxfId="1753" priority="361">
      <formula>AX$9&lt;8/24</formula>
    </cfRule>
  </conditionalFormatting>
  <conditionalFormatting sqref="A115:A116">
    <cfRule type="expression" dxfId="1752" priority="313">
      <formula>$AH115=0</formula>
    </cfRule>
  </conditionalFormatting>
  <conditionalFormatting sqref="M54:V58 W56:X58 Y58:Z58 AF54:AF57 AB54:AE55 E71:AF71">
    <cfRule type="expression" dxfId="1751" priority="309">
      <formula>E$9&gt;=20/24</formula>
    </cfRule>
    <cfRule type="expression" dxfId="1750" priority="310">
      <formula>AND(E$9&gt;=14/24,E$9&lt;20/24)</formula>
    </cfRule>
    <cfRule type="expression" dxfId="1749" priority="311">
      <formula>AND(E$9&gt;=8/24,E$9&lt;14/24)</formula>
    </cfRule>
    <cfRule type="expression" dxfId="1748" priority="312">
      <formula>E$9&lt;8/24</formula>
    </cfRule>
  </conditionalFormatting>
  <conditionalFormatting sqref="M53:V53 AB53:AF53">
    <cfRule type="expression" dxfId="1747" priority="305">
      <formula>M$9&gt;=20/24</formula>
    </cfRule>
    <cfRule type="expression" dxfId="1746" priority="306">
      <formula>AND(M$9&gt;=14/24,M$9&lt;20/24)</formula>
    </cfRule>
    <cfRule type="expression" dxfId="1745" priority="307">
      <formula>AND(M$9&gt;=8/24,M$9&lt;14/24)</formula>
    </cfRule>
    <cfRule type="expression" dxfId="1744" priority="308">
      <formula>M$9&lt;8/24</formula>
    </cfRule>
  </conditionalFormatting>
  <conditionalFormatting sqref="M53:V58 W56:X58 Y58:Z58 AF53:AF57 AB53:AE55">
    <cfRule type="expression" dxfId="1743" priority="304">
      <formula>M53&gt;$AG53</formula>
    </cfRule>
  </conditionalFormatting>
  <conditionalFormatting sqref="X96:AF96 AF100:AF106 X47:AF47 X67:AA67 D86:AF86 M100:X106 Y68:AA69 E72:X73 AB67:AF69 Y72:AF74">
    <cfRule type="expression" dxfId="1742" priority="300">
      <formula>D$9&gt;=20/24</formula>
    </cfRule>
    <cfRule type="expression" dxfId="1741" priority="301">
      <formula>AND(D$9&gt;=14/24,D$9&lt;20/24)</formula>
    </cfRule>
    <cfRule type="expression" dxfId="1740" priority="302">
      <formula>AND(D$9&gt;=8/24,D$9&lt;14/24)</formula>
    </cfRule>
    <cfRule type="expression" dxfId="1739" priority="303">
      <formula>D$9&lt;8/24</formula>
    </cfRule>
  </conditionalFormatting>
  <conditionalFormatting sqref="X47:AF47 X67:AA67 Y68:AA69 AB67:AF69">
    <cfRule type="expression" dxfId="1738" priority="299">
      <formula>X47&gt;$AG47</formula>
    </cfRule>
  </conditionalFormatting>
  <conditionalFormatting sqref="W53:X55 AA53:AA58 Y53:Z57 AB56:AE58 AF58">
    <cfRule type="expression" dxfId="1737" priority="295">
      <formula>W$9&gt;=20/24</formula>
    </cfRule>
    <cfRule type="expression" dxfId="1736" priority="296">
      <formula>AND(W$9&gt;=14/24,W$9&lt;20/24)</formula>
    </cfRule>
    <cfRule type="expression" dxfId="1735" priority="297">
      <formula>AND(W$9&gt;=8/24,W$9&lt;14/24)</formula>
    </cfRule>
    <cfRule type="expression" dxfId="1734" priority="298">
      <formula>W$9&lt;8/24</formula>
    </cfRule>
  </conditionalFormatting>
  <conditionalFormatting sqref="W53:X55 AA53:AA58 Y53:Z57 AB56:AE58 AF58">
    <cfRule type="expression" dxfId="1733" priority="294">
      <formula>W53&gt;$AG53</formula>
    </cfRule>
  </conditionalFormatting>
  <conditionalFormatting sqref="C97:AF97 D88:AF88">
    <cfRule type="expression" dxfId="1732" priority="290">
      <formula>C$9&gt;=20/24</formula>
    </cfRule>
    <cfRule type="expression" dxfId="1731" priority="291">
      <formula>AND(C$9&gt;=14/24,C$9&lt;20/24)</formula>
    </cfRule>
    <cfRule type="expression" dxfId="1730" priority="292">
      <formula>AND(C$9&gt;=8/24,C$9&lt;14/24)</formula>
    </cfRule>
    <cfRule type="expression" dxfId="1729" priority="293">
      <formula>C$9&lt;8/24</formula>
    </cfRule>
  </conditionalFormatting>
  <conditionalFormatting sqref="W47">
    <cfRule type="expression" dxfId="1728" priority="286">
      <formula>W$9&gt;=20/24</formula>
    </cfRule>
    <cfRule type="expression" dxfId="1727" priority="287">
      <formula>AND(W$9&gt;=14/24,W$9&lt;20/24)</formula>
    </cfRule>
    <cfRule type="expression" dxfId="1726" priority="288">
      <formula>AND(W$9&gt;=8/24,W$9&lt;14/24)</formula>
    </cfRule>
    <cfRule type="expression" dxfId="1725" priority="289">
      <formula>W$9&lt;8/24</formula>
    </cfRule>
  </conditionalFormatting>
  <conditionalFormatting sqref="W47">
    <cfRule type="expression" dxfId="1724" priority="285">
      <formula>W47&gt;$AG47</formula>
    </cfRule>
  </conditionalFormatting>
  <conditionalFormatting sqref="E54:L55">
    <cfRule type="expression" dxfId="1723" priority="281">
      <formula>E$9&gt;=20/24</formula>
    </cfRule>
    <cfRule type="expression" dxfId="1722" priority="282">
      <formula>AND(E$9&gt;=14/24,E$9&lt;20/24)</formula>
    </cfRule>
    <cfRule type="expression" dxfId="1721" priority="283">
      <formula>AND(E$9&gt;=8/24,E$9&lt;14/24)</formula>
    </cfRule>
    <cfRule type="expression" dxfId="1720" priority="284">
      <formula>E$9&lt;8/24</formula>
    </cfRule>
  </conditionalFormatting>
  <conditionalFormatting sqref="E53:L53">
    <cfRule type="expression" dxfId="1719" priority="277">
      <formula>E$9&gt;=20/24</formula>
    </cfRule>
    <cfRule type="expression" dxfId="1718" priority="278">
      <formula>AND(E$9&gt;=14/24,E$9&lt;20/24)</formula>
    </cfRule>
    <cfRule type="expression" dxfId="1717" priority="279">
      <formula>AND(E$9&gt;=8/24,E$9&lt;14/24)</formula>
    </cfRule>
    <cfRule type="expression" dxfId="1716" priority="280">
      <formula>E$9&lt;8/24</formula>
    </cfRule>
  </conditionalFormatting>
  <conditionalFormatting sqref="E53:L55">
    <cfRule type="expression" dxfId="1715" priority="276">
      <formula>E53&gt;$AG53</formula>
    </cfRule>
  </conditionalFormatting>
  <conditionalFormatting sqref="AG70 AG87 W67:W69 E100:L106 X68:X69">
    <cfRule type="expression" dxfId="1714" priority="272">
      <formula>E$9&gt;=20/24</formula>
    </cfRule>
    <cfRule type="expression" dxfId="1713" priority="273">
      <formula>AND(E$9&gt;=14/24,E$9&lt;20/24)</formula>
    </cfRule>
    <cfRule type="expression" dxfId="1712" priority="274">
      <formula>AND(E$9&gt;=8/24,E$9&lt;14/24)</formula>
    </cfRule>
    <cfRule type="expression" dxfId="1711" priority="275">
      <formula>E$9&lt;8/24</formula>
    </cfRule>
  </conditionalFormatting>
  <conditionalFormatting sqref="AG48 AG66 AG70 W67:W69 X68:X69">
    <cfRule type="expression" dxfId="1710" priority="271">
      <formula>W48&gt;$AG48</formula>
    </cfRule>
  </conditionalFormatting>
  <conditionalFormatting sqref="A43">
    <cfRule type="expression" dxfId="1709" priority="265">
      <formula>$AH43=0</formula>
    </cfRule>
  </conditionalFormatting>
  <conditionalFormatting sqref="X91:AF95">
    <cfRule type="expression" dxfId="1708" priority="261">
      <formula>X$9&gt;=20/24</formula>
    </cfRule>
    <cfRule type="expression" dxfId="1707" priority="262">
      <formula>AND(X$9&gt;=14/24,X$9&lt;20/24)</formula>
    </cfRule>
    <cfRule type="expression" dxfId="1706" priority="263">
      <formula>AND(X$9&gt;=8/24,X$9&lt;14/24)</formula>
    </cfRule>
    <cfRule type="expression" dxfId="1705" priority="264">
      <formula>X$9&lt;8/24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1704" priority="257">
      <formula>E$9&gt;=20/24</formula>
    </cfRule>
    <cfRule type="expression" dxfId="1703" priority="258">
      <formula>AND(E$9&gt;=14/24,E$9&lt;20/24)</formula>
    </cfRule>
    <cfRule type="expression" dxfId="1702" priority="259">
      <formula>AND(E$9&gt;=8/24,E$9&lt;14/24)</formula>
    </cfRule>
    <cfRule type="expression" dxfId="1701" priority="260">
      <formula>E$9&lt;8/24</formula>
    </cfRule>
  </conditionalFormatting>
  <conditionalFormatting sqref="E49:AF51">
    <cfRule type="expression" dxfId="1700" priority="256">
      <formula>E49&gt;$AG49</formula>
    </cfRule>
  </conditionalFormatting>
  <conditionalFormatting sqref="AG52">
    <cfRule type="expression" dxfId="1699" priority="252">
      <formula>AG$9&gt;=20/24</formula>
    </cfRule>
    <cfRule type="expression" dxfId="1698" priority="253">
      <formula>AND(AG$9&gt;=14/24,AG$9&lt;20/24)</formula>
    </cfRule>
    <cfRule type="expression" dxfId="1697" priority="254">
      <formula>AND(AG$9&gt;=8/24,AG$9&lt;14/24)</formula>
    </cfRule>
    <cfRule type="expression" dxfId="1696" priority="255">
      <formula>AG$9&lt;8/24</formula>
    </cfRule>
  </conditionalFormatting>
  <conditionalFormatting sqref="AG52">
    <cfRule type="expression" dxfId="1695" priority="251">
      <formula>AG52&gt;$AG52</formula>
    </cfRule>
  </conditionalFormatting>
  <conditionalFormatting sqref="C107:AF107">
    <cfRule type="expression" dxfId="1694" priority="247">
      <formula>C$9&gt;=20/24</formula>
    </cfRule>
    <cfRule type="expression" dxfId="1693" priority="248">
      <formula>AND(C$9&gt;=14/24,C$9&lt;20/24)</formula>
    </cfRule>
    <cfRule type="expression" dxfId="1692" priority="249">
      <formula>AND(C$9&gt;=8/24,C$9&lt;14/24)</formula>
    </cfRule>
    <cfRule type="expression" dxfId="1691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1690" priority="245">
      <formula>$AH40=0</formula>
    </cfRule>
  </conditionalFormatting>
  <conditionalFormatting sqref="A90">
    <cfRule type="expression" dxfId="1689" priority="243">
      <formula>$AH90=0</formula>
    </cfRule>
  </conditionalFormatting>
  <conditionalFormatting sqref="A87">
    <cfRule type="expression" dxfId="1688" priority="244">
      <formula>$AH87=0</formula>
    </cfRule>
  </conditionalFormatting>
  <conditionalFormatting sqref="D110:AF110">
    <cfRule type="expression" dxfId="1687" priority="239">
      <formula>D$9&gt;=20/24</formula>
    </cfRule>
    <cfRule type="expression" dxfId="1686" priority="240">
      <formula>AND(D$9&gt;=14/24,D$9&lt;20/24)</formula>
    </cfRule>
    <cfRule type="expression" dxfId="1685" priority="241">
      <formula>AND(D$9&gt;=8/24,D$9&lt;14/24)</formula>
    </cfRule>
    <cfRule type="expression" dxfId="1684" priority="242">
      <formula>D$9&lt;8/24</formula>
    </cfRule>
  </conditionalFormatting>
  <conditionalFormatting sqref="A110">
    <cfRule type="expression" dxfId="1683" priority="238">
      <formula>$AH110=0</formula>
    </cfRule>
  </conditionalFormatting>
  <conditionalFormatting sqref="A21">
    <cfRule type="expression" dxfId="1682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681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E99">
    <cfRule type="expression" dxfId="1680" priority="230">
      <formula>Y$9&gt;=20/24</formula>
    </cfRule>
    <cfRule type="expression" dxfId="1679" priority="231">
      <formula>AND(Y$9&gt;=14/24,Y$9&lt;20/24)</formula>
    </cfRule>
    <cfRule type="expression" dxfId="1678" priority="232">
      <formula>AND(Y$9&gt;=8/24,Y$9&lt;14/24)</formula>
    </cfRule>
    <cfRule type="expression" dxfId="1677" priority="233">
      <formula>Y$9&lt;8/24</formula>
    </cfRule>
  </conditionalFormatting>
  <conditionalFormatting sqref="Y100:AE106">
    <cfRule type="expression" dxfId="1676" priority="226">
      <formula>Y$9&gt;=20/24</formula>
    </cfRule>
    <cfRule type="expression" dxfId="1675" priority="227">
      <formula>AND(Y$9&gt;=14/24,Y$9&lt;20/24)</formula>
    </cfRule>
    <cfRule type="expression" dxfId="1674" priority="228">
      <formula>AND(Y$9&gt;=8/24,Y$9&lt;14/24)</formula>
    </cfRule>
    <cfRule type="expression" dxfId="1673" priority="229">
      <formula>Y$9&lt;8/24</formula>
    </cfRule>
  </conditionalFormatting>
  <conditionalFormatting sqref="C109 C111:C116 AA34:AF43 AA17:AF32">
    <cfRule type="expression" dxfId="1672" priority="222">
      <formula>C$9&gt;=20/24</formula>
    </cfRule>
    <cfRule type="expression" dxfId="1671" priority="223">
      <formula>AND(C$9&gt;=14/24,C$9&lt;20/24)</formula>
    </cfRule>
    <cfRule type="expression" dxfId="1670" priority="224">
      <formula>AND(C$9&gt;=8/24,C$9&lt;14/24)</formula>
    </cfRule>
    <cfRule type="expression" dxfId="1669" priority="225">
      <formula>C$9&lt;8/24</formula>
    </cfRule>
  </conditionalFormatting>
  <conditionalFormatting sqref="C47:V47">
    <cfRule type="expression" dxfId="1668" priority="218">
      <formula>C$9&gt;=20/24</formula>
    </cfRule>
    <cfRule type="expression" dxfId="1667" priority="219">
      <formula>AND(C$9&gt;=14/24,C$9&lt;20/24)</formula>
    </cfRule>
    <cfRule type="expression" dxfId="1666" priority="220">
      <formula>AND(C$9&gt;=8/24,C$9&lt;14/24)</formula>
    </cfRule>
    <cfRule type="expression" dxfId="1665" priority="221">
      <formula>C$9&lt;8/24</formula>
    </cfRule>
  </conditionalFormatting>
  <conditionalFormatting sqref="C47:V47 AA34:AF43 AA17:AF32">
    <cfRule type="expression" dxfId="1664" priority="217">
      <formula>C17&gt;$AG17</formula>
    </cfRule>
  </conditionalFormatting>
  <conditionalFormatting sqref="C99:D99">
    <cfRule type="expression" dxfId="1663" priority="213">
      <formula>C$9&gt;=20/24</formula>
    </cfRule>
    <cfRule type="expression" dxfId="1662" priority="214">
      <formula>AND(C$9&gt;=14/24,C$9&lt;20/24)</formula>
    </cfRule>
    <cfRule type="expression" dxfId="1661" priority="215">
      <formula>AND(C$9&gt;=8/24,C$9&lt;14/24)</formula>
    </cfRule>
    <cfRule type="expression" dxfId="1660" priority="216">
      <formula>C$9&lt;8/24</formula>
    </cfRule>
  </conditionalFormatting>
  <conditionalFormatting sqref="C86 D100:D106 C96:W96 C83:AF85 E67:V69 E74:X75 E76:AA76 Y75:AA75 AB75:AF76">
    <cfRule type="expression" dxfId="1659" priority="209">
      <formula>C$9&gt;=20/24</formula>
    </cfRule>
    <cfRule type="expression" dxfId="1658" priority="210">
      <formula>AND(C$9&gt;=14/24,C$9&lt;20/24)</formula>
    </cfRule>
    <cfRule type="expression" dxfId="1657" priority="211">
      <formula>AND(C$9&gt;=8/24,C$9&lt;14/24)</formula>
    </cfRule>
    <cfRule type="expression" dxfId="1656" priority="212">
      <formula>C$9&lt;8/24</formula>
    </cfRule>
  </conditionalFormatting>
  <conditionalFormatting sqref="E56:L57 E67:V69">
    <cfRule type="expression" dxfId="1655" priority="208">
      <formula>E56&gt;$AG56</formula>
    </cfRule>
  </conditionalFormatting>
  <conditionalFormatting sqref="E58:L58">
    <cfRule type="expression" dxfId="1654" priority="204">
      <formula>E$9&gt;=20/24</formula>
    </cfRule>
    <cfRule type="expression" dxfId="1653" priority="205">
      <formula>AND(E$9&gt;=14/24,E$9&lt;20/24)</formula>
    </cfRule>
    <cfRule type="expression" dxfId="1652" priority="206">
      <formula>AND(E$9&gt;=8/24,E$9&lt;14/24)</formula>
    </cfRule>
    <cfRule type="expression" dxfId="1651" priority="207">
      <formula>E$9&lt;8/24</formula>
    </cfRule>
  </conditionalFormatting>
  <conditionalFormatting sqref="E58:L58">
    <cfRule type="expression" dxfId="1650" priority="203">
      <formula>E58&gt;$AG58</formula>
    </cfRule>
  </conditionalFormatting>
  <conditionalFormatting sqref="B54:D57 B71:D71">
    <cfRule type="expression" dxfId="1649" priority="132">
      <formula>B$9&gt;=20/24</formula>
    </cfRule>
    <cfRule type="expression" dxfId="1648" priority="133">
      <formula>AND(B$9&gt;=14/24,B$9&lt;20/24)</formula>
    </cfRule>
    <cfRule type="expression" dxfId="1647" priority="134">
      <formula>AND(B$9&gt;=8/24,B$9&lt;14/24)</formula>
    </cfRule>
    <cfRule type="expression" dxfId="1646" priority="135">
      <formula>B$9&lt;8/24</formula>
    </cfRule>
  </conditionalFormatting>
  <conditionalFormatting sqref="C87:AF87 C89:AF89 C98:AF98 C70:AF70">
    <cfRule type="expression" dxfId="1645" priority="199">
      <formula>C$9&gt;=20/24</formula>
    </cfRule>
    <cfRule type="expression" dxfId="1644" priority="200">
      <formula>AND(C$9&gt;=14/24,C$9&lt;20/24)</formula>
    </cfRule>
    <cfRule type="expression" dxfId="1643" priority="201">
      <formula>AND(C$9&gt;=8/24,C$9&lt;14/24)</formula>
    </cfRule>
    <cfRule type="expression" dxfId="1642" priority="202">
      <formula>C$9&lt;8/24</formula>
    </cfRule>
  </conditionalFormatting>
  <conditionalFormatting sqref="C65:AF66 C70:AF70">
    <cfRule type="expression" dxfId="1641" priority="198">
      <formula>C65&gt;$AG65</formula>
    </cfRule>
  </conditionalFormatting>
  <conditionalFormatting sqref="C82:AF82">
    <cfRule type="expression" dxfId="1640" priority="194">
      <formula>C$9&gt;=20/24</formula>
    </cfRule>
    <cfRule type="expression" dxfId="1639" priority="195">
      <formula>AND(C$9&gt;=14/24,C$9&lt;20/24)</formula>
    </cfRule>
    <cfRule type="expression" dxfId="1638" priority="196">
      <formula>AND(C$9&gt;=8/24,C$9&lt;14/24)</formula>
    </cfRule>
    <cfRule type="expression" dxfId="1637" priority="197">
      <formula>C$9&lt;8/24</formula>
    </cfRule>
  </conditionalFormatting>
  <conditionalFormatting sqref="C91:W95">
    <cfRule type="expression" dxfId="1636" priority="190">
      <formula>C$9&gt;=20/24</formula>
    </cfRule>
    <cfRule type="expression" dxfId="1635" priority="191">
      <formula>AND(C$9&gt;=14/24,C$9&lt;20/24)</formula>
    </cfRule>
    <cfRule type="expression" dxfId="1634" priority="192">
      <formula>AND(C$9&gt;=8/24,C$9&lt;14/24)</formula>
    </cfRule>
    <cfRule type="expression" dxfId="1633" priority="193">
      <formula>C$9&lt;8/24</formula>
    </cfRule>
  </conditionalFormatting>
  <conditionalFormatting sqref="C52:AF52">
    <cfRule type="expression" dxfId="1632" priority="186">
      <formula>C$9&gt;=20/24</formula>
    </cfRule>
    <cfRule type="expression" dxfId="1631" priority="187">
      <formula>AND(C$9&gt;=14/24,C$9&lt;20/24)</formula>
    </cfRule>
    <cfRule type="expression" dxfId="1630" priority="188">
      <formula>AND(C$9&gt;=8/24,C$9&lt;14/24)</formula>
    </cfRule>
    <cfRule type="expression" dxfId="1629" priority="189">
      <formula>C$9&lt;8/24</formula>
    </cfRule>
  </conditionalFormatting>
  <conditionalFormatting sqref="C52:AF52">
    <cfRule type="expression" dxfId="1628" priority="185">
      <formula>C52&gt;$AG52</formula>
    </cfRule>
  </conditionalFormatting>
  <conditionalFormatting sqref="B49:D51">
    <cfRule type="expression" dxfId="1627" priority="100">
      <formula>B$9&gt;=20/24</formula>
    </cfRule>
    <cfRule type="expression" dxfId="1626" priority="101">
      <formula>AND(B$9&gt;=14/24,B$9&lt;20/24)</formula>
    </cfRule>
    <cfRule type="expression" dxfId="1625" priority="102">
      <formula>AND(B$9&gt;=8/24,B$9&lt;14/24)</formula>
    </cfRule>
    <cfRule type="expression" dxfId="1624" priority="103">
      <formula>B$9&lt;8/24</formula>
    </cfRule>
  </conditionalFormatting>
  <conditionalFormatting sqref="C110">
    <cfRule type="expression" dxfId="1623" priority="177">
      <formula>C$9&gt;=20/24</formula>
    </cfRule>
    <cfRule type="expression" dxfId="1622" priority="178">
      <formula>AND(C$9&gt;=14/24,C$9&lt;20/24)</formula>
    </cfRule>
    <cfRule type="expression" dxfId="1621" priority="179">
      <formula>AND(C$9&gt;=8/24,C$9&lt;14/24)</formula>
    </cfRule>
    <cfRule type="expression" dxfId="1620" priority="180">
      <formula>C$9&lt;8/24</formula>
    </cfRule>
  </conditionalFormatting>
  <conditionalFormatting sqref="F59:G59 G60 H59:L60 M59:AF64">
    <cfRule type="expression" dxfId="1619" priority="173">
      <formula>F$9&gt;=20/24</formula>
    </cfRule>
    <cfRule type="expression" dxfId="1618" priority="174">
      <formula>AND(F$9&gt;=14/24,F$9&lt;20/24)</formula>
    </cfRule>
    <cfRule type="expression" dxfId="1617" priority="175">
      <formula>AND(F$9&gt;=8/24,F$9&lt;14/24)</formula>
    </cfRule>
    <cfRule type="expression" dxfId="1616" priority="176">
      <formula>F$9&lt;8/24</formula>
    </cfRule>
  </conditionalFormatting>
  <conditionalFormatting sqref="F59:G59 G60 H59:L60 M59:AF64">
    <cfRule type="expression" dxfId="1615" priority="172">
      <formula>F59&gt;$AG59</formula>
    </cfRule>
  </conditionalFormatting>
  <conditionalFormatting sqref="AA45:AF45 AA13:AF15">
    <cfRule type="expression" dxfId="1614" priority="171">
      <formula>AA13&gt;$AG13</formula>
    </cfRule>
  </conditionalFormatting>
  <conditionalFormatting sqref="AA12:AF12">
    <cfRule type="expression" dxfId="1613" priority="167">
      <formula>AA$9&gt;=20/24</formula>
    </cfRule>
    <cfRule type="expression" dxfId="1612" priority="168">
      <formula>AND(AA$9&gt;=14/24,AA$9&lt;20/24)</formula>
    </cfRule>
    <cfRule type="expression" dxfId="1611" priority="169">
      <formula>AND(AA$9&gt;=8/24,AA$9&lt;14/24)</formula>
    </cfRule>
    <cfRule type="expression" dxfId="1610" priority="170">
      <formula>AA$9&lt;8/24</formula>
    </cfRule>
  </conditionalFormatting>
  <conditionalFormatting sqref="AA12:AF12">
    <cfRule type="expression" dxfId="1609" priority="166">
      <formula>AA12&gt;$AG12</formula>
    </cfRule>
  </conditionalFormatting>
  <conditionalFormatting sqref="AA13:AF15">
    <cfRule type="expression" dxfId="1608" priority="162">
      <formula>AA$9&gt;=20/24</formula>
    </cfRule>
    <cfRule type="expression" dxfId="1607" priority="163">
      <formula>AND(AA$9&gt;=14/24,AA$9&lt;20/24)</formula>
    </cfRule>
    <cfRule type="expression" dxfId="1606" priority="164">
      <formula>AND(AA$9&gt;=8/24,AA$9&lt;14/24)</formula>
    </cfRule>
    <cfRule type="expression" dxfId="1605" priority="165">
      <formula>AA$9&lt;8/24</formula>
    </cfRule>
  </conditionalFormatting>
  <conditionalFormatting sqref="AA45:AF45">
    <cfRule type="expression" dxfId="1604" priority="158">
      <formula>AA$9&gt;=20/24</formula>
    </cfRule>
    <cfRule type="expression" dxfId="1603" priority="159">
      <formula>AND(AA$9&gt;=14/24,AA$9&lt;20/24)</formula>
    </cfRule>
    <cfRule type="expression" dxfId="1602" priority="160">
      <formula>AND(AA$9&gt;=8/24,AA$9&lt;14/24)</formula>
    </cfRule>
    <cfRule type="expression" dxfId="1601" priority="161">
      <formula>AA$9&lt;8/24</formula>
    </cfRule>
  </conditionalFormatting>
  <conditionalFormatting sqref="E78:J81 B77:J77 J83:J85 K77:AF81">
    <cfRule type="expression" dxfId="1600" priority="154">
      <formula>B$9&gt;=20/24</formula>
    </cfRule>
    <cfRule type="expression" dxfId="1599" priority="155">
      <formula>AND(B$9&gt;=14/24,B$9&lt;20/24)</formula>
    </cfRule>
    <cfRule type="expression" dxfId="1598" priority="156">
      <formula>AND(B$9&gt;=8/24,B$9&lt;14/24)</formula>
    </cfRule>
    <cfRule type="expression" dxfId="1597" priority="157">
      <formula>B$9&lt;8/24</formula>
    </cfRule>
  </conditionalFormatting>
  <conditionalFormatting sqref="AL78:AN78 AL84:AN84 AN79:AN80">
    <cfRule type="expression" dxfId="1596" priority="150">
      <formula>AL$9&gt;=20/24</formula>
    </cfRule>
    <cfRule type="expression" dxfId="1595" priority="151">
      <formula>AND(AL$9&gt;=14/24,AL$9&lt;20/24)</formula>
    </cfRule>
    <cfRule type="expression" dxfId="1594" priority="152">
      <formula>AND(AL$9&gt;=8/24,AL$9&lt;14/24)</formula>
    </cfRule>
    <cfRule type="expression" dxfId="1593" priority="153">
      <formula>AL$9&lt;8/24</formula>
    </cfRule>
  </conditionalFormatting>
  <conditionalFormatting sqref="AN81:AN82">
    <cfRule type="expression" dxfId="1592" priority="146">
      <formula>AN$9&gt;=20/24</formula>
    </cfRule>
    <cfRule type="expression" dxfId="1591" priority="147">
      <formula>AND(AN$9&gt;=14/24,AN$9&lt;20/24)</formula>
    </cfRule>
    <cfRule type="expression" dxfId="1590" priority="148">
      <formula>AND(AN$9&gt;=8/24,AN$9&lt;14/24)</formula>
    </cfRule>
    <cfRule type="expression" dxfId="1589" priority="149">
      <formula>AN$9&lt;8/24</formula>
    </cfRule>
  </conditionalFormatting>
  <conditionalFormatting sqref="AL79:AM83">
    <cfRule type="expression" dxfId="1588" priority="363">
      <formula>AJ$9&gt;=20/24</formula>
    </cfRule>
    <cfRule type="expression" dxfId="1587" priority="364">
      <formula>AND(AJ$9&gt;=14/24,AJ$9&lt;20/24)</formula>
    </cfRule>
    <cfRule type="expression" dxfId="1586" priority="365">
      <formula>AND(AJ$9&gt;=8/24,AJ$9&lt;14/24)</formula>
    </cfRule>
    <cfRule type="expression" dxfId="1585" priority="366">
      <formula>AJ$9&lt;8/24</formula>
    </cfRule>
  </conditionalFormatting>
  <conditionalFormatting sqref="A117">
    <cfRule type="expression" dxfId="1584" priority="145">
      <formula>$AH117=0</formula>
    </cfRule>
  </conditionalFormatting>
  <conditionalFormatting sqref="B109 B111:B116 B12:Z15 B17:Z32 B34:Z43 B45:Z45">
    <cfRule type="expression" dxfId="1583" priority="141">
      <formula>B$9&gt;=20/24</formula>
    </cfRule>
    <cfRule type="expression" dxfId="1582" priority="142">
      <formula>AND(B$9&gt;=14/24,B$9&lt;20/24)</formula>
    </cfRule>
    <cfRule type="expression" dxfId="1581" priority="143">
      <formula>AND(B$9&gt;=8/24,B$9&lt;14/24)</formula>
    </cfRule>
    <cfRule type="expression" dxfId="1580" priority="144">
      <formula>B$9&lt;8/24</formula>
    </cfRule>
  </conditionalFormatting>
  <conditionalFormatting sqref="B12:Z15 B17:Z32 B34:Z43 B45:Z45">
    <cfRule type="expression" dxfId="1579" priority="140">
      <formula>B12&gt;$AG12</formula>
    </cfRule>
  </conditionalFormatting>
  <conditionalFormatting sqref="B99">
    <cfRule type="expression" dxfId="1578" priority="136">
      <formula>B$9&gt;=20/24</formula>
    </cfRule>
    <cfRule type="expression" dxfId="1577" priority="137">
      <formula>AND(B$9&gt;=14/24,B$9&lt;20/24)</formula>
    </cfRule>
    <cfRule type="expression" dxfId="1576" priority="138">
      <formula>AND(B$9&gt;=8/24,B$9&lt;14/24)</formula>
    </cfRule>
    <cfRule type="expression" dxfId="1575" priority="139">
      <formula>B$9&lt;8/24</formula>
    </cfRule>
  </conditionalFormatting>
  <conditionalFormatting sqref="B53:D53">
    <cfRule type="expression" dxfId="1574" priority="128">
      <formula>B$9&gt;=20/24</formula>
    </cfRule>
    <cfRule type="expression" dxfId="1573" priority="129">
      <formula>AND(B$9&gt;=14/24,B$9&lt;20/24)</formula>
    </cfRule>
    <cfRule type="expression" dxfId="1572" priority="130">
      <formula>AND(B$9&gt;=8/24,B$9&lt;14/24)</formula>
    </cfRule>
    <cfRule type="expression" dxfId="1571" priority="131">
      <formula>B$9&lt;8/24</formula>
    </cfRule>
  </conditionalFormatting>
  <conditionalFormatting sqref="B53:D57">
    <cfRule type="expression" dxfId="1570" priority="127">
      <formula>B53&gt;$AG53</formula>
    </cfRule>
  </conditionalFormatting>
  <conditionalFormatting sqref="B96 B86 B47 B100:C106 B67:D69 B72:D74">
    <cfRule type="expression" dxfId="1569" priority="123">
      <formula>B$9&gt;=20/24</formula>
    </cfRule>
    <cfRule type="expression" dxfId="1568" priority="124">
      <formula>AND(B$9&gt;=14/24,B$9&lt;20/24)</formula>
    </cfRule>
    <cfRule type="expression" dxfId="1567" priority="125">
      <formula>AND(B$9&gt;=8/24,B$9&lt;14/24)</formula>
    </cfRule>
    <cfRule type="expression" dxfId="1566" priority="126">
      <formula>B$9&lt;8/24</formula>
    </cfRule>
  </conditionalFormatting>
  <conditionalFormatting sqref="B47 B67:D69">
    <cfRule type="expression" dxfId="1565" priority="122">
      <formula>B47&gt;$AG47</formula>
    </cfRule>
  </conditionalFormatting>
  <conditionalFormatting sqref="B97 B88:C88">
    <cfRule type="expression" dxfId="1564" priority="118">
      <formula>B$9&gt;=20/24</formula>
    </cfRule>
    <cfRule type="expression" dxfId="1563" priority="119">
      <formula>AND(B$9&gt;=14/24,B$9&lt;20/24)</formula>
    </cfRule>
    <cfRule type="expression" dxfId="1562" priority="120">
      <formula>AND(B$9&gt;=8/24,B$9&lt;14/24)</formula>
    </cfRule>
    <cfRule type="expression" dxfId="1561" priority="121">
      <formula>B$9&lt;8/24</formula>
    </cfRule>
  </conditionalFormatting>
  <conditionalFormatting sqref="B46:AF46">
    <cfRule type="expression" dxfId="1560" priority="114">
      <formula>B$9&gt;=20/24</formula>
    </cfRule>
    <cfRule type="expression" dxfId="1559" priority="115">
      <formula>AND(B$9&gt;=14/24,B$9&lt;20/24)</formula>
    </cfRule>
    <cfRule type="expression" dxfId="1558" priority="116">
      <formula>AND(B$9&gt;=8/24,B$9&lt;14/24)</formula>
    </cfRule>
    <cfRule type="expression" dxfId="1557" priority="117">
      <formula>B$9&lt;8/24</formula>
    </cfRule>
  </conditionalFormatting>
  <conditionalFormatting sqref="B46:AF46">
    <cfRule type="expression" dxfId="1556" priority="113">
      <formula>B46&gt;$AG46</formula>
    </cfRule>
  </conditionalFormatting>
  <conditionalFormatting sqref="B58:D58">
    <cfRule type="expression" dxfId="1555" priority="109">
      <formula>B$9&gt;=20/24</formula>
    </cfRule>
    <cfRule type="expression" dxfId="1554" priority="110">
      <formula>AND(B$9&gt;=14/24,B$9&lt;20/24)</formula>
    </cfRule>
    <cfRule type="expression" dxfId="1553" priority="111">
      <formula>AND(B$9&gt;=8/24,B$9&lt;14/24)</formula>
    </cfRule>
    <cfRule type="expression" dxfId="1552" priority="112">
      <formula>B$9&lt;8/24</formula>
    </cfRule>
  </conditionalFormatting>
  <conditionalFormatting sqref="B58:D58">
    <cfRule type="expression" dxfId="1551" priority="108">
      <formula>B58&gt;$AG58</formula>
    </cfRule>
  </conditionalFormatting>
  <conditionalFormatting sqref="B91:B95">
    <cfRule type="expression" dxfId="1550" priority="104">
      <formula>B$9&gt;=20/24</formula>
    </cfRule>
    <cfRule type="expression" dxfId="1549" priority="105">
      <formula>AND(B$9&gt;=14/24,B$9&lt;20/24)</formula>
    </cfRule>
    <cfRule type="expression" dxfId="1548" priority="106">
      <formula>AND(B$9&gt;=8/24,B$9&lt;14/24)</formula>
    </cfRule>
    <cfRule type="expression" dxfId="1547" priority="107">
      <formula>B$9&lt;8/24</formula>
    </cfRule>
  </conditionalFormatting>
  <conditionalFormatting sqref="B49:D51">
    <cfRule type="expression" dxfId="1546" priority="99">
      <formula>B49&gt;$AG49</formula>
    </cfRule>
  </conditionalFormatting>
  <conditionalFormatting sqref="B107">
    <cfRule type="expression" dxfId="1545" priority="95">
      <formula>B$9&gt;=20/24</formula>
    </cfRule>
    <cfRule type="expression" dxfId="1544" priority="96">
      <formula>AND(B$9&gt;=14/24,B$9&lt;20/24)</formula>
    </cfRule>
    <cfRule type="expression" dxfId="1543" priority="97">
      <formula>AND(B$9&gt;=8/24,B$9&lt;14/24)</formula>
    </cfRule>
    <cfRule type="expression" dxfId="1542" priority="98">
      <formula>B$9&lt;8/24</formula>
    </cfRule>
  </conditionalFormatting>
  <conditionalFormatting sqref="B110">
    <cfRule type="expression" dxfId="1541" priority="91">
      <formula>B$9&gt;=20/24</formula>
    </cfRule>
    <cfRule type="expression" dxfId="1540" priority="92">
      <formula>AND(B$9&gt;=14/24,B$9&lt;20/24)</formula>
    </cfRule>
    <cfRule type="expression" dxfId="1539" priority="93">
      <formula>AND(B$9&gt;=8/24,B$9&lt;14/24)</formula>
    </cfRule>
    <cfRule type="expression" dxfId="1538" priority="94">
      <formula>B$9&lt;8/24</formula>
    </cfRule>
  </conditionalFormatting>
  <conditionalFormatting sqref="B83:B85 B75:D76">
    <cfRule type="expression" dxfId="1537" priority="87">
      <formula>B$9&gt;=20/24</formula>
    </cfRule>
    <cfRule type="expression" dxfId="1536" priority="88">
      <formula>AND(B$9&gt;=14/24,B$9&lt;20/24)</formula>
    </cfRule>
    <cfRule type="expression" dxfId="1535" priority="89">
      <formula>AND(B$9&gt;=8/24,B$9&lt;14/24)</formula>
    </cfRule>
    <cfRule type="expression" dxfId="1534" priority="90">
      <formula>B$9&lt;8/24</formula>
    </cfRule>
  </conditionalFormatting>
  <conditionalFormatting sqref="B89 B98 B70 B87">
    <cfRule type="expression" dxfId="1533" priority="83">
      <formula>B$9&gt;=20/24</formula>
    </cfRule>
    <cfRule type="expression" dxfId="1532" priority="84">
      <formula>AND(B$9&gt;=14/24,B$9&lt;20/24)</formula>
    </cfRule>
    <cfRule type="expression" dxfId="1531" priority="85">
      <formula>AND(B$9&gt;=8/24,B$9&lt;14/24)</formula>
    </cfRule>
    <cfRule type="expression" dxfId="1530" priority="86">
      <formula>B$9&lt;8/24</formula>
    </cfRule>
  </conditionalFormatting>
  <conditionalFormatting sqref="B65:B66 B70 B48:AF48">
    <cfRule type="expression" dxfId="1529" priority="82">
      <formula>B48&gt;$AG48</formula>
    </cfRule>
  </conditionalFormatting>
  <conditionalFormatting sqref="B82">
    <cfRule type="expression" dxfId="1528" priority="78">
      <formula>B$9&gt;=20/24</formula>
    </cfRule>
    <cfRule type="expression" dxfId="1527" priority="79">
      <formula>AND(B$9&gt;=14/24,B$9&lt;20/24)</formula>
    </cfRule>
    <cfRule type="expression" dxfId="1526" priority="80">
      <formula>AND(B$9&gt;=8/24,B$9&lt;14/24)</formula>
    </cfRule>
    <cfRule type="expression" dxfId="1525" priority="81">
      <formula>B$9&lt;8/24</formula>
    </cfRule>
  </conditionalFormatting>
  <conditionalFormatting sqref="B52">
    <cfRule type="expression" dxfId="1524" priority="74">
      <formula>B$9&gt;=20/24</formula>
    </cfRule>
    <cfRule type="expression" dxfId="1523" priority="75">
      <formula>AND(B$9&gt;=14/24,B$9&lt;20/24)</formula>
    </cfRule>
    <cfRule type="expression" dxfId="1522" priority="76">
      <formula>AND(B$9&gt;=8/24,B$9&lt;14/24)</formula>
    </cfRule>
    <cfRule type="expression" dxfId="1521" priority="77">
      <formula>B$9&lt;8/24</formula>
    </cfRule>
  </conditionalFormatting>
  <conditionalFormatting sqref="B52">
    <cfRule type="expression" dxfId="1520" priority="73">
      <formula>B52&gt;$AG52</formula>
    </cfRule>
  </conditionalFormatting>
  <conditionalFormatting sqref="B59:E64 F60:F64 G61:L64">
    <cfRule type="expression" dxfId="1519" priority="65">
      <formula>B$9&gt;=20/24</formula>
    </cfRule>
    <cfRule type="expression" dxfId="1518" priority="66">
      <formula>AND(B$9&gt;=14/24,B$9&lt;20/24)</formula>
    </cfRule>
    <cfRule type="expression" dxfId="1517" priority="67">
      <formula>AND(B$9&gt;=8/24,B$9&lt;14/24)</formula>
    </cfRule>
    <cfRule type="expression" dxfId="1516" priority="68">
      <formula>B$9&lt;8/24</formula>
    </cfRule>
  </conditionalFormatting>
  <conditionalFormatting sqref="B59:E64 F60:F64 G61:L64">
    <cfRule type="expression" dxfId="1515" priority="64">
      <formula>B59&gt;$AG59</formula>
    </cfRule>
  </conditionalFormatting>
  <conditionalFormatting sqref="B78:D81">
    <cfRule type="expression" dxfId="1514" priority="60">
      <formula>B$9&gt;=20/24</formula>
    </cfRule>
    <cfRule type="expression" dxfId="1513" priority="61">
      <formula>AND(B$9&gt;=14/24,B$9&lt;20/24)</formula>
    </cfRule>
    <cfRule type="expression" dxfId="1512" priority="62">
      <formula>AND(B$9&gt;=8/24,B$9&lt;14/24)</formula>
    </cfRule>
    <cfRule type="expression" dxfId="1511" priority="63">
      <formula>B$9&lt;8/24</formula>
    </cfRule>
  </conditionalFormatting>
  <conditionalFormatting sqref="A11">
    <cfRule type="expression" dxfId="1510" priority="59">
      <formula>$AH11=0</formula>
    </cfRule>
  </conditionalFormatting>
  <conditionalFormatting sqref="AA11:AF11">
    <cfRule type="expression" dxfId="1509" priority="55">
      <formula>AA$9&gt;=20/24</formula>
    </cfRule>
    <cfRule type="expression" dxfId="1508" priority="56">
      <formula>AND(AA$9&gt;=14/24,AA$9&lt;20/24)</formula>
    </cfRule>
    <cfRule type="expression" dxfId="1507" priority="57">
      <formula>AND(AA$9&gt;=8/24,AA$9&lt;14/24)</formula>
    </cfRule>
    <cfRule type="expression" dxfId="1506" priority="58">
      <formula>AA$9&lt;8/24</formula>
    </cfRule>
  </conditionalFormatting>
  <conditionalFormatting sqref="AA11:AF11">
    <cfRule type="expression" dxfId="1505" priority="54">
      <formula>AA11&gt;$AG11</formula>
    </cfRule>
  </conditionalFormatting>
  <conditionalFormatting sqref="B11:Z11">
    <cfRule type="expression" dxfId="1504" priority="50">
      <formula>B$9&gt;=20/24</formula>
    </cfRule>
    <cfRule type="expression" dxfId="1503" priority="51">
      <formula>AND(B$9&gt;=14/24,B$9&lt;20/24)</formula>
    </cfRule>
    <cfRule type="expression" dxfId="1502" priority="52">
      <formula>AND(B$9&gt;=8/24,B$9&lt;14/24)</formula>
    </cfRule>
    <cfRule type="expression" dxfId="1501" priority="53">
      <formula>B$9&lt;8/24</formula>
    </cfRule>
  </conditionalFormatting>
  <conditionalFormatting sqref="B11:Z11">
    <cfRule type="expression" dxfId="1500" priority="49">
      <formula>B11&gt;$AG11</formula>
    </cfRule>
  </conditionalFormatting>
  <conditionalFormatting sqref="A16">
    <cfRule type="expression" dxfId="1499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A16:AF16">
    <cfRule type="expression" dxfId="1498" priority="43">
      <formula>AA$9&gt;=20/24</formula>
    </cfRule>
    <cfRule type="expression" dxfId="1497" priority="44">
      <formula>AND(AA$9&gt;=14/24,AA$9&lt;20/24)</formula>
    </cfRule>
    <cfRule type="expression" dxfId="1496" priority="45">
      <formula>AND(AA$9&gt;=8/24,AA$9&lt;14/24)</formula>
    </cfRule>
    <cfRule type="expression" dxfId="1495" priority="46">
      <formula>AA$9&lt;8/24</formula>
    </cfRule>
  </conditionalFormatting>
  <conditionalFormatting sqref="AA16:AF16">
    <cfRule type="expression" dxfId="1494" priority="42">
      <formula>AA16&gt;$AG16</formula>
    </cfRule>
  </conditionalFormatting>
  <conditionalFormatting sqref="B16:Z16">
    <cfRule type="expression" dxfId="1493" priority="38">
      <formula>B$9&gt;=20/24</formula>
    </cfRule>
    <cfRule type="expression" dxfId="1492" priority="39">
      <formula>AND(B$9&gt;=14/24,B$9&lt;20/24)</formula>
    </cfRule>
    <cfRule type="expression" dxfId="1491" priority="40">
      <formula>AND(B$9&gt;=8/24,B$9&lt;14/24)</formula>
    </cfRule>
    <cfRule type="expression" dxfId="1490" priority="41">
      <formula>B$9&lt;8/24</formula>
    </cfRule>
  </conditionalFormatting>
  <conditionalFormatting sqref="B16:Z16">
    <cfRule type="expression" dxfId="1489" priority="37">
      <formula>B16&gt;$AG16</formula>
    </cfRule>
  </conditionalFormatting>
  <conditionalFormatting sqref="A33">
    <cfRule type="expression" dxfId="1488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AA33:AF33">
    <cfRule type="expression" dxfId="1487" priority="31">
      <formula>AA$9&gt;=20/24</formula>
    </cfRule>
    <cfRule type="expression" dxfId="1486" priority="32">
      <formula>AND(AA$9&gt;=14/24,AA$9&lt;20/24)</formula>
    </cfRule>
    <cfRule type="expression" dxfId="1485" priority="33">
      <formula>AND(AA$9&gt;=8/24,AA$9&lt;14/24)</formula>
    </cfRule>
    <cfRule type="expression" dxfId="1484" priority="34">
      <formula>AA$9&lt;8/24</formula>
    </cfRule>
  </conditionalFormatting>
  <conditionalFormatting sqref="AA33:AF33">
    <cfRule type="expression" dxfId="1483" priority="30">
      <formula>AA33&gt;$AG33</formula>
    </cfRule>
  </conditionalFormatting>
  <conditionalFormatting sqref="B33:Z33">
    <cfRule type="expression" dxfId="1482" priority="26">
      <formula>B$9&gt;=20/24</formula>
    </cfRule>
    <cfRule type="expression" dxfId="1481" priority="27">
      <formula>AND(B$9&gt;=14/24,B$9&lt;20/24)</formula>
    </cfRule>
    <cfRule type="expression" dxfId="1480" priority="28">
      <formula>AND(B$9&gt;=8/24,B$9&lt;14/24)</formula>
    </cfRule>
    <cfRule type="expression" dxfId="1479" priority="29">
      <formula>B$9&lt;8/24</formula>
    </cfRule>
  </conditionalFormatting>
  <conditionalFormatting sqref="B33:Z33">
    <cfRule type="expression" dxfId="1478" priority="25">
      <formula>B33&gt;$AG33</formula>
    </cfRule>
  </conditionalFormatting>
  <conditionalFormatting sqref="A44">
    <cfRule type="expression" dxfId="1477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AA44:AF44">
    <cfRule type="expression" dxfId="1476" priority="22">
      <formula>AA44&gt;$AG44</formula>
    </cfRule>
  </conditionalFormatting>
  <conditionalFormatting sqref="AA44:AF44">
    <cfRule type="expression" dxfId="1475" priority="18">
      <formula>AA$9&gt;=20/24</formula>
    </cfRule>
    <cfRule type="expression" dxfId="1474" priority="19">
      <formula>AND(AA$9&gt;=14/24,AA$9&lt;20/24)</formula>
    </cfRule>
    <cfRule type="expression" dxfId="1473" priority="20">
      <formula>AND(AA$9&gt;=8/24,AA$9&lt;14/24)</formula>
    </cfRule>
    <cfRule type="expression" dxfId="1472" priority="21">
      <formula>AA$9&lt;8/24</formula>
    </cfRule>
  </conditionalFormatting>
  <conditionalFormatting sqref="B44:Z44">
    <cfRule type="expression" dxfId="1471" priority="14">
      <formula>B$9&gt;=20/24</formula>
    </cfRule>
    <cfRule type="expression" dxfId="1470" priority="15">
      <formula>AND(B$9&gt;=14/24,B$9&lt;20/24)</formula>
    </cfRule>
    <cfRule type="expression" dxfId="1469" priority="16">
      <formula>AND(B$9&gt;=8/24,B$9&lt;14/24)</formula>
    </cfRule>
    <cfRule type="expression" dxfId="1468" priority="17">
      <formula>B$9&lt;8/24</formula>
    </cfRule>
  </conditionalFormatting>
  <conditionalFormatting sqref="B44:Z44">
    <cfRule type="expression" dxfId="1467" priority="13">
      <formula>B44&gt;$AG44</formula>
    </cfRule>
  </conditionalFormatting>
  <conditionalFormatting sqref="B117">
    <cfRule type="expression" dxfId="1466" priority="1">
      <formula>B$9&gt;=20/24</formula>
    </cfRule>
    <cfRule type="expression" dxfId="1465" priority="2">
      <formula>AND(B$9&gt;=14/24,B$9&lt;20/24)</formula>
    </cfRule>
    <cfRule type="expression" dxfId="1464" priority="3">
      <formula>AND(B$9&gt;=8/24,B$9&lt;14/24)</formula>
    </cfRule>
    <cfRule type="expression" dxfId="1463" priority="4">
      <formula>B$9&lt;8/24</formula>
    </cfRule>
  </conditionalFormatting>
  <conditionalFormatting sqref="D117:AF117">
    <cfRule type="expression" dxfId="1462" priority="9">
      <formula>D$9&gt;=20/24</formula>
    </cfRule>
    <cfRule type="expression" dxfId="1461" priority="10">
      <formula>AND(D$9&gt;=14/24,D$9&lt;20/24)</formula>
    </cfRule>
    <cfRule type="expression" dxfId="1460" priority="11">
      <formula>AND(D$9&gt;=8/24,D$9&lt;14/24)</formula>
    </cfRule>
    <cfRule type="expression" dxfId="1459" priority="12">
      <formula>D$9&lt;8/24</formula>
    </cfRule>
  </conditionalFormatting>
  <conditionalFormatting sqref="C117">
    <cfRule type="expression" dxfId="1458" priority="5">
      <formula>C$9&gt;=20/24</formula>
    </cfRule>
    <cfRule type="expression" dxfId="1457" priority="6">
      <formula>AND(C$9&gt;=14/24,C$9&lt;20/24)</formula>
    </cfRule>
    <cfRule type="expression" dxfId="1456" priority="7">
      <formula>AND(C$9&gt;=8/24,C$9&lt;14/24)</formula>
    </cfRule>
    <cfRule type="expression" dxfId="1455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446FD672-2FEF-4550-B7D7-75C15FBCF57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F04902EE-9952-4B99-9CC9-43816390A81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312ECA87-5DF8-4AE9-B5C5-1A40C24B824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8FC22DB9-7C68-4CE5-9C7D-48CF5E0B564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6463A68D-3518-4E76-804A-F5C09AA0D17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BD224848-30A2-4046-9E2B-664F91BF061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D742AB00-ADAE-4110-BF81-238BCA27CCA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6C4318CA-DABB-40FA-803F-0AE5CF72546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Normal="100" workbookViewId="0">
      <pane ySplit="10" topLeftCell="A98" activePane="bottomLeft" state="frozen"/>
      <selection activeCell="Z85" sqref="Z85"/>
      <selection pane="bottomLeft" activeCell="X40" sqref="X40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2079/12/25</v>
      </c>
      <c r="C4" s="236"/>
      <c r="D4" s="236"/>
      <c r="E4" s="237" t="str">
        <f ca="1">"2079/"&amp;"12/"&amp;INT(MID(CELL("filename",G6),FIND("]",CELL("filename",G6))+1,200))</f>
        <v>2079/12/25</v>
      </c>
      <c r="F4" s="237"/>
      <c r="G4" s="237"/>
      <c r="H4" s="237" t="str">
        <f ca="1">TEXT(E4,"dddd")</f>
        <v>Monday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603</v>
      </c>
      <c r="C5" s="33">
        <f t="shared" si="0"/>
        <v>595</v>
      </c>
      <c r="D5" s="33">
        <f t="shared" si="0"/>
        <v>581.19999999999993</v>
      </c>
      <c r="E5" s="33">
        <f t="shared" si="0"/>
        <v>531.20000000000005</v>
      </c>
      <c r="F5" s="33">
        <f t="shared" si="0"/>
        <v>577.29999999999995</v>
      </c>
      <c r="G5" s="33">
        <f t="shared" si="0"/>
        <v>532.29999999999995</v>
      </c>
      <c r="H5" s="33">
        <f t="shared" si="0"/>
        <v>524.5</v>
      </c>
      <c r="I5" s="33">
        <f t="shared" si="0"/>
        <v>532.6</v>
      </c>
      <c r="J5" s="33">
        <f t="shared" si="0"/>
        <v>526.5</v>
      </c>
      <c r="K5" s="33">
        <f t="shared" si="0"/>
        <v>520.80000000000007</v>
      </c>
      <c r="L5" s="33">
        <f t="shared" si="0"/>
        <v>455.2</v>
      </c>
      <c r="M5" s="33">
        <f t="shared" si="0"/>
        <v>467.3</v>
      </c>
      <c r="N5" s="33">
        <f t="shared" si="0"/>
        <v>551.6</v>
      </c>
      <c r="O5" s="33">
        <f t="shared" si="0"/>
        <v>551.6</v>
      </c>
      <c r="P5" s="33">
        <f t="shared" si="0"/>
        <v>619.1</v>
      </c>
      <c r="Q5" s="33">
        <f t="shared" si="0"/>
        <v>592</v>
      </c>
      <c r="R5" s="33">
        <f t="shared" si="0"/>
        <v>588</v>
      </c>
      <c r="S5" s="33">
        <f t="shared" si="0"/>
        <v>587.29999999999995</v>
      </c>
      <c r="T5" s="33">
        <f t="shared" si="0"/>
        <v>598.79999999999995</v>
      </c>
      <c r="U5" s="33">
        <f t="shared" si="0"/>
        <v>596</v>
      </c>
      <c r="V5" s="33">
        <f t="shared" si="0"/>
        <v>578</v>
      </c>
      <c r="W5" s="33">
        <f t="shared" si="0"/>
        <v>609.30000000000007</v>
      </c>
      <c r="X5" s="33">
        <f t="shared" si="0"/>
        <v>605.19999999999993</v>
      </c>
      <c r="Y5" s="33">
        <f t="shared" si="0"/>
        <v>601.4</v>
      </c>
      <c r="Z5" s="33">
        <f t="shared" si="0"/>
        <v>450.5</v>
      </c>
      <c r="AA5" s="33">
        <f t="shared" si="0"/>
        <v>453.20000000000005</v>
      </c>
      <c r="AB5" s="33">
        <f t="shared" si="0"/>
        <v>453.20000000000005</v>
      </c>
      <c r="AC5" s="33">
        <f t="shared" si="0"/>
        <v>568.4</v>
      </c>
      <c r="AD5" s="33">
        <f t="shared" si="0"/>
        <v>526.70000000000005</v>
      </c>
      <c r="AE5" s="33">
        <f t="shared" si="0"/>
        <v>510.5</v>
      </c>
      <c r="AF5" s="33">
        <f>B82</f>
        <v>583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1518MW at 7:30hr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Load=1242</v>
      </c>
      <c r="B7" s="38">
        <f t="shared" ref="B7:AF7" si="1">B89</f>
        <v>1390.6999999999998</v>
      </c>
      <c r="C7" s="38">
        <f t="shared" si="1"/>
        <v>1304.6399999999999</v>
      </c>
      <c r="D7" s="38">
        <f t="shared" si="1"/>
        <v>1270.3399999999999</v>
      </c>
      <c r="E7" s="38">
        <f t="shared" si="1"/>
        <v>1242.3399999999997</v>
      </c>
      <c r="F7" s="38">
        <f t="shared" si="1"/>
        <v>1255.6399999999999</v>
      </c>
      <c r="G7" s="38">
        <f t="shared" si="1"/>
        <v>1284.3399999999999</v>
      </c>
      <c r="H7" s="38">
        <f t="shared" si="1"/>
        <v>1299.7399999999998</v>
      </c>
      <c r="I7" s="38">
        <f t="shared" si="1"/>
        <v>1347.55</v>
      </c>
      <c r="J7" s="38">
        <f t="shared" si="1"/>
        <v>1440.04</v>
      </c>
      <c r="K7" s="38">
        <f t="shared" si="1"/>
        <v>1458.04</v>
      </c>
      <c r="L7" s="38">
        <f t="shared" si="1"/>
        <v>1517.54</v>
      </c>
      <c r="M7" s="38">
        <f t="shared" si="1"/>
        <v>1445.14</v>
      </c>
      <c r="N7" s="38">
        <f>N89</f>
        <v>1489.04</v>
      </c>
      <c r="O7" s="38">
        <f t="shared" si="1"/>
        <v>1535.52</v>
      </c>
      <c r="P7" s="38">
        <f t="shared" si="1"/>
        <v>1497.24</v>
      </c>
      <c r="Q7" s="38">
        <f t="shared" si="1"/>
        <v>1607.04</v>
      </c>
      <c r="R7" s="38">
        <f t="shared" si="1"/>
        <v>1526.8400000000001</v>
      </c>
      <c r="S7" s="38">
        <f t="shared" si="1"/>
        <v>1594.04</v>
      </c>
      <c r="T7" s="38">
        <f t="shared" si="1"/>
        <v>1551.2399999999998</v>
      </c>
      <c r="U7" s="38">
        <f t="shared" si="1"/>
        <v>1574.74</v>
      </c>
      <c r="V7" s="38">
        <f t="shared" si="1"/>
        <v>1568.74</v>
      </c>
      <c r="W7" s="38">
        <f t="shared" si="1"/>
        <v>1439.44</v>
      </c>
      <c r="X7" s="38">
        <f t="shared" si="1"/>
        <v>1569.7400000000002</v>
      </c>
      <c r="Y7" s="38">
        <f t="shared" si="1"/>
        <v>1617.54</v>
      </c>
      <c r="Z7" s="38">
        <f t="shared" si="1"/>
        <v>1742.6399999999999</v>
      </c>
      <c r="AA7" s="38">
        <f t="shared" si="1"/>
        <v>1787.54</v>
      </c>
      <c r="AB7" s="38">
        <f t="shared" si="1"/>
        <v>1736.76</v>
      </c>
      <c r="AC7" s="38">
        <f t="shared" si="1"/>
        <v>1736.76</v>
      </c>
      <c r="AD7" s="38">
        <f t="shared" si="1"/>
        <v>1694.3600000000001</v>
      </c>
      <c r="AE7" s="38">
        <f t="shared" si="1"/>
        <v>1470.3600000000001</v>
      </c>
      <c r="AF7" s="38">
        <f t="shared" si="1"/>
        <v>1478.46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26.7</v>
      </c>
      <c r="C11" s="50">
        <v>26.7</v>
      </c>
      <c r="D11" s="50">
        <v>26.7</v>
      </c>
      <c r="E11" s="50">
        <v>26.7</v>
      </c>
      <c r="F11" s="50">
        <v>26.7</v>
      </c>
      <c r="G11" s="50">
        <v>26.7</v>
      </c>
      <c r="H11" s="50">
        <v>38</v>
      </c>
      <c r="I11" s="50">
        <v>36</v>
      </c>
      <c r="J11" s="50">
        <v>36</v>
      </c>
      <c r="K11" s="50">
        <v>36</v>
      </c>
      <c r="L11" s="50">
        <v>36</v>
      </c>
      <c r="M11" s="50">
        <v>32</v>
      </c>
      <c r="N11" s="50">
        <v>32</v>
      </c>
      <c r="O11" s="50">
        <v>32</v>
      </c>
      <c r="P11" s="50">
        <v>32</v>
      </c>
      <c r="Q11" s="50">
        <v>31</v>
      </c>
      <c r="R11" s="50">
        <v>31</v>
      </c>
      <c r="S11" s="50">
        <v>31</v>
      </c>
      <c r="T11" s="50">
        <v>31</v>
      </c>
      <c r="U11" s="50">
        <v>31</v>
      </c>
      <c r="V11" s="50">
        <v>31</v>
      </c>
      <c r="W11" s="50">
        <v>31</v>
      </c>
      <c r="X11" s="50">
        <v>31</v>
      </c>
      <c r="Y11" s="50">
        <v>31</v>
      </c>
      <c r="Z11" s="50">
        <v>31</v>
      </c>
      <c r="AA11" s="50">
        <v>31</v>
      </c>
      <c r="AB11" s="50">
        <v>30</v>
      </c>
      <c r="AC11" s="50">
        <v>30</v>
      </c>
      <c r="AD11" s="50">
        <v>30</v>
      </c>
      <c r="AE11" s="50">
        <v>30</v>
      </c>
      <c r="AF11" s="50">
        <v>30</v>
      </c>
      <c r="AG11" s="51">
        <v>86</v>
      </c>
      <c r="AH11" s="52">
        <f t="shared" ref="AH11:AH74" si="2">MAX(B11:AF11)</f>
        <v>38</v>
      </c>
      <c r="AI11" s="53">
        <f t="shared" ref="AI11:AI74" si="3">MIN(B11:AF11)</f>
        <v>26.7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19</v>
      </c>
      <c r="C12" s="50">
        <v>19</v>
      </c>
      <c r="D12" s="50">
        <v>19</v>
      </c>
      <c r="E12" s="50">
        <v>21</v>
      </c>
      <c r="F12" s="50">
        <v>21.2</v>
      </c>
      <c r="G12" s="50">
        <v>21.1</v>
      </c>
      <c r="H12" s="50">
        <v>20</v>
      </c>
      <c r="I12" s="50">
        <v>19.100000000000001</v>
      </c>
      <c r="J12" s="50">
        <v>19</v>
      </c>
      <c r="K12" s="50">
        <v>19</v>
      </c>
      <c r="L12" s="50">
        <v>19</v>
      </c>
      <c r="M12" s="50">
        <v>19</v>
      </c>
      <c r="N12" s="50">
        <v>19</v>
      </c>
      <c r="O12" s="50">
        <v>17.579999999999998</v>
      </c>
      <c r="P12" s="50">
        <v>18</v>
      </c>
      <c r="Q12" s="50">
        <v>17.600000000000001</v>
      </c>
      <c r="R12" s="50">
        <v>17</v>
      </c>
      <c r="S12" s="50">
        <v>17</v>
      </c>
      <c r="T12" s="50">
        <v>16.100000000000001</v>
      </c>
      <c r="U12" s="50">
        <v>16.100000000000001</v>
      </c>
      <c r="V12" s="50">
        <v>13.6</v>
      </c>
      <c r="W12" s="50">
        <v>13.6</v>
      </c>
      <c r="X12" s="50">
        <v>13.6</v>
      </c>
      <c r="Y12" s="50">
        <v>13.6</v>
      </c>
      <c r="Z12" s="50">
        <v>13.6</v>
      </c>
      <c r="AA12" s="50">
        <v>15.7</v>
      </c>
      <c r="AB12" s="50">
        <v>15.8</v>
      </c>
      <c r="AC12" s="50">
        <v>15.8</v>
      </c>
      <c r="AD12" s="50">
        <v>15.8</v>
      </c>
      <c r="AE12" s="50">
        <v>15.8</v>
      </c>
      <c r="AF12" s="50">
        <v>15.8</v>
      </c>
      <c r="AG12" s="51">
        <v>52.4</v>
      </c>
      <c r="AH12" s="52">
        <f t="shared" si="2"/>
        <v>21.2</v>
      </c>
      <c r="AI12" s="53">
        <f t="shared" si="3"/>
        <v>13.6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39.5</v>
      </c>
      <c r="C13" s="50">
        <v>39.5</v>
      </c>
      <c r="D13" s="50">
        <v>39.5</v>
      </c>
      <c r="E13" s="50">
        <v>39.5</v>
      </c>
      <c r="F13" s="50">
        <v>39.5</v>
      </c>
      <c r="G13" s="50">
        <v>39.5</v>
      </c>
      <c r="H13" s="50">
        <v>41.7</v>
      </c>
      <c r="I13" s="50">
        <v>41.6</v>
      </c>
      <c r="J13" s="50">
        <v>41.6</v>
      </c>
      <c r="K13" s="50">
        <v>41.6</v>
      </c>
      <c r="L13" s="50">
        <v>41.6</v>
      </c>
      <c r="M13" s="50">
        <v>41.6</v>
      </c>
      <c r="N13" s="50">
        <v>41.6</v>
      </c>
      <c r="O13" s="50">
        <v>41.6</v>
      </c>
      <c r="P13" s="50">
        <v>41.6</v>
      </c>
      <c r="Q13" s="50">
        <v>42.1</v>
      </c>
      <c r="R13" s="50">
        <v>40</v>
      </c>
      <c r="S13" s="50">
        <v>40</v>
      </c>
      <c r="T13" s="50">
        <v>39.200000000000003</v>
      </c>
      <c r="U13" s="50">
        <v>39.200000000000003</v>
      </c>
      <c r="V13" s="50">
        <v>33.6</v>
      </c>
      <c r="W13" s="50">
        <v>33.6</v>
      </c>
      <c r="X13" s="50">
        <v>33.6</v>
      </c>
      <c r="Y13" s="50">
        <v>33.6</v>
      </c>
      <c r="Z13" s="50">
        <v>33.6</v>
      </c>
      <c r="AA13" s="50">
        <v>39.200000000000003</v>
      </c>
      <c r="AB13" s="50">
        <v>39.4</v>
      </c>
      <c r="AC13" s="50">
        <v>39.4</v>
      </c>
      <c r="AD13" s="50">
        <v>39.4</v>
      </c>
      <c r="AE13" s="50">
        <v>39.4</v>
      </c>
      <c r="AF13" s="50">
        <v>39.4</v>
      </c>
      <c r="AG13" s="55">
        <v>50</v>
      </c>
      <c r="AH13" s="52">
        <f t="shared" si="2"/>
        <v>42.1</v>
      </c>
      <c r="AI13" s="53">
        <f t="shared" si="3"/>
        <v>33.6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22.7</v>
      </c>
      <c r="C14" s="50">
        <v>22.7</v>
      </c>
      <c r="D14" s="50">
        <v>20</v>
      </c>
      <c r="E14" s="50">
        <v>19.600000000000001</v>
      </c>
      <c r="F14" s="50">
        <v>19.8</v>
      </c>
      <c r="G14" s="50">
        <v>19.8</v>
      </c>
      <c r="H14" s="50">
        <v>19.7</v>
      </c>
      <c r="I14" s="50">
        <v>19.100000000000001</v>
      </c>
      <c r="J14" s="50">
        <v>19.100000000000001</v>
      </c>
      <c r="K14" s="50">
        <v>19.100000000000001</v>
      </c>
      <c r="L14" s="50">
        <v>19.100000000000001</v>
      </c>
      <c r="M14" s="50">
        <v>19.100000000000001</v>
      </c>
      <c r="N14" s="50">
        <v>19.100000000000001</v>
      </c>
      <c r="O14" s="50">
        <v>19.100000000000001</v>
      </c>
      <c r="P14" s="50">
        <v>19.100000000000001</v>
      </c>
      <c r="Q14" s="50">
        <v>18.7</v>
      </c>
      <c r="R14" s="50">
        <v>18.7</v>
      </c>
      <c r="S14" s="50">
        <v>18.7</v>
      </c>
      <c r="T14" s="50">
        <v>18.7</v>
      </c>
      <c r="U14" s="50">
        <v>18.7</v>
      </c>
      <c r="V14" s="50">
        <v>22</v>
      </c>
      <c r="W14" s="50">
        <v>22</v>
      </c>
      <c r="X14" s="50">
        <v>22</v>
      </c>
      <c r="Y14" s="50">
        <v>22</v>
      </c>
      <c r="Z14" s="50">
        <v>22</v>
      </c>
      <c r="AA14" s="50">
        <v>21</v>
      </c>
      <c r="AB14" s="50">
        <v>20.9</v>
      </c>
      <c r="AC14" s="50">
        <v>20.9</v>
      </c>
      <c r="AD14" s="50">
        <v>20.9</v>
      </c>
      <c r="AE14" s="50">
        <v>20.9</v>
      </c>
      <c r="AF14" s="50">
        <v>20.9</v>
      </c>
      <c r="AG14" s="55">
        <v>45</v>
      </c>
      <c r="AH14" s="52">
        <f t="shared" si="2"/>
        <v>22.7</v>
      </c>
      <c r="AI14" s="53">
        <f t="shared" si="3"/>
        <v>18.7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19</v>
      </c>
      <c r="C15" s="50">
        <v>19</v>
      </c>
      <c r="D15" s="50">
        <v>19</v>
      </c>
      <c r="E15" s="50">
        <v>15</v>
      </c>
      <c r="F15" s="50">
        <v>15</v>
      </c>
      <c r="G15" s="50">
        <v>15</v>
      </c>
      <c r="H15" s="50">
        <v>15</v>
      </c>
      <c r="I15" s="50">
        <v>15.2</v>
      </c>
      <c r="J15" s="50">
        <v>14</v>
      </c>
      <c r="K15" s="50">
        <v>14</v>
      </c>
      <c r="L15" s="50">
        <v>14</v>
      </c>
      <c r="M15" s="50">
        <v>14</v>
      </c>
      <c r="N15" s="50">
        <v>14</v>
      </c>
      <c r="O15" s="50">
        <v>14</v>
      </c>
      <c r="P15" s="50">
        <v>14</v>
      </c>
      <c r="Q15" s="50">
        <v>13.5</v>
      </c>
      <c r="R15" s="50">
        <v>13.5</v>
      </c>
      <c r="S15" s="50">
        <v>13.5</v>
      </c>
      <c r="T15" s="50">
        <v>13.5</v>
      </c>
      <c r="U15" s="50">
        <v>13.5</v>
      </c>
      <c r="V15" s="50">
        <v>13.5</v>
      </c>
      <c r="W15" s="50">
        <v>13.5</v>
      </c>
      <c r="X15" s="50">
        <v>13.5</v>
      </c>
      <c r="Y15" s="50">
        <v>13.5</v>
      </c>
      <c r="Z15" s="50">
        <v>13.5</v>
      </c>
      <c r="AA15" s="50">
        <v>13.5</v>
      </c>
      <c r="AB15" s="50">
        <v>13.6</v>
      </c>
      <c r="AC15" s="50">
        <v>13.6</v>
      </c>
      <c r="AD15" s="50">
        <v>13.6</v>
      </c>
      <c r="AE15" s="50">
        <v>13.6</v>
      </c>
      <c r="AF15" s="50">
        <v>13.6</v>
      </c>
      <c r="AG15" s="55">
        <v>42</v>
      </c>
      <c r="AH15" s="52">
        <f t="shared" si="2"/>
        <v>19</v>
      </c>
      <c r="AI15" s="53">
        <f t="shared" si="3"/>
        <v>13.5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18</v>
      </c>
      <c r="C16" s="50">
        <v>18</v>
      </c>
      <c r="D16" s="50">
        <v>18</v>
      </c>
      <c r="E16" s="50">
        <v>18</v>
      </c>
      <c r="F16" s="50">
        <v>18</v>
      </c>
      <c r="G16" s="50">
        <v>18</v>
      </c>
      <c r="H16" s="50">
        <v>18</v>
      </c>
      <c r="I16" s="50">
        <v>18</v>
      </c>
      <c r="J16" s="50">
        <v>18</v>
      </c>
      <c r="K16" s="50">
        <v>18</v>
      </c>
      <c r="L16" s="50">
        <v>18</v>
      </c>
      <c r="M16" s="50">
        <v>19</v>
      </c>
      <c r="N16" s="50">
        <v>19</v>
      </c>
      <c r="O16" s="50">
        <v>19</v>
      </c>
      <c r="P16" s="50">
        <v>19</v>
      </c>
      <c r="Q16" s="50">
        <v>19</v>
      </c>
      <c r="R16" s="50">
        <v>19</v>
      </c>
      <c r="S16" s="50">
        <v>19</v>
      </c>
      <c r="T16" s="50">
        <v>19</v>
      </c>
      <c r="U16" s="50">
        <v>19</v>
      </c>
      <c r="V16" s="50">
        <v>19</v>
      </c>
      <c r="W16" s="50">
        <v>19</v>
      </c>
      <c r="X16" s="50">
        <v>19</v>
      </c>
      <c r="Y16" s="50">
        <v>19</v>
      </c>
      <c r="Z16" s="50">
        <v>19</v>
      </c>
      <c r="AA16" s="50">
        <v>19</v>
      </c>
      <c r="AB16" s="50">
        <v>18</v>
      </c>
      <c r="AC16" s="50">
        <v>18</v>
      </c>
      <c r="AD16" s="50">
        <v>18</v>
      </c>
      <c r="AE16" s="50">
        <v>18</v>
      </c>
      <c r="AF16" s="50">
        <v>18</v>
      </c>
      <c r="AG16" s="55">
        <v>36</v>
      </c>
      <c r="AH16" s="52">
        <f t="shared" si="2"/>
        <v>19</v>
      </c>
      <c r="AI16" s="53">
        <f t="shared" si="3"/>
        <v>18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12.5</v>
      </c>
      <c r="C17" s="50">
        <v>12.5</v>
      </c>
      <c r="D17" s="50">
        <v>12.5</v>
      </c>
      <c r="E17" s="50">
        <v>12.5</v>
      </c>
      <c r="F17" s="50">
        <v>12.5</v>
      </c>
      <c r="G17" s="50">
        <v>12.5</v>
      </c>
      <c r="H17" s="50">
        <v>12.5</v>
      </c>
      <c r="I17" s="50">
        <v>12.5</v>
      </c>
      <c r="J17" s="50">
        <v>12.5</v>
      </c>
      <c r="K17" s="50">
        <v>12.5</v>
      </c>
      <c r="L17" s="50">
        <v>12.5</v>
      </c>
      <c r="M17" s="50">
        <v>12.5</v>
      </c>
      <c r="N17" s="50">
        <v>12.5</v>
      </c>
      <c r="O17" s="50">
        <v>12.5</v>
      </c>
      <c r="P17" s="50">
        <v>12.5</v>
      </c>
      <c r="Q17" s="50">
        <v>12.5</v>
      </c>
      <c r="R17" s="50">
        <v>12.5</v>
      </c>
      <c r="S17" s="50">
        <v>12.5</v>
      </c>
      <c r="T17" s="50">
        <v>12.5</v>
      </c>
      <c r="U17" s="50">
        <v>12.5</v>
      </c>
      <c r="V17" s="50">
        <v>12.5</v>
      </c>
      <c r="W17" s="50">
        <v>12.5</v>
      </c>
      <c r="X17" s="50">
        <v>12.5</v>
      </c>
      <c r="Y17" s="50">
        <v>12.5</v>
      </c>
      <c r="Z17" s="50">
        <v>12.5</v>
      </c>
      <c r="AA17" s="50">
        <v>12.5</v>
      </c>
      <c r="AB17" s="50">
        <v>12.5</v>
      </c>
      <c r="AC17" s="50">
        <v>12.5</v>
      </c>
      <c r="AD17" s="50">
        <v>12.5</v>
      </c>
      <c r="AE17" s="50">
        <v>12.5</v>
      </c>
      <c r="AF17" s="50">
        <v>12.5</v>
      </c>
      <c r="AG17" s="55">
        <v>36</v>
      </c>
      <c r="AH17" s="52">
        <f t="shared" si="2"/>
        <v>12.5</v>
      </c>
      <c r="AI17" s="53">
        <f t="shared" si="3"/>
        <v>12.5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12.2</v>
      </c>
      <c r="C18" s="50">
        <v>12.2</v>
      </c>
      <c r="D18" s="50">
        <v>12.2</v>
      </c>
      <c r="E18" s="50">
        <v>12.2</v>
      </c>
      <c r="F18" s="50">
        <v>12.2</v>
      </c>
      <c r="G18" s="50">
        <v>12.2</v>
      </c>
      <c r="H18" s="50">
        <v>12.2</v>
      </c>
      <c r="I18" s="50">
        <v>12.21</v>
      </c>
      <c r="J18" s="50">
        <v>12.1</v>
      </c>
      <c r="K18" s="50">
        <v>12.1</v>
      </c>
      <c r="L18" s="50">
        <v>12.1</v>
      </c>
      <c r="M18" s="50">
        <v>12.1</v>
      </c>
      <c r="N18" s="50">
        <v>12.1</v>
      </c>
      <c r="O18" s="50">
        <v>12.1</v>
      </c>
      <c r="P18" s="50">
        <v>12.1</v>
      </c>
      <c r="Q18" s="50">
        <v>11.9</v>
      </c>
      <c r="R18" s="50">
        <v>11.9</v>
      </c>
      <c r="S18" s="50">
        <v>11.9</v>
      </c>
      <c r="T18" s="50">
        <v>11.9</v>
      </c>
      <c r="U18" s="50">
        <v>11.9</v>
      </c>
      <c r="V18" s="50">
        <v>11.9</v>
      </c>
      <c r="W18" s="50">
        <v>11.9</v>
      </c>
      <c r="X18" s="50">
        <v>11.9</v>
      </c>
      <c r="Y18" s="50">
        <v>11.9</v>
      </c>
      <c r="Z18" s="50">
        <v>11.9</v>
      </c>
      <c r="AA18" s="50">
        <v>11.8</v>
      </c>
      <c r="AB18" s="50">
        <v>11.8</v>
      </c>
      <c r="AC18" s="50">
        <v>11.8</v>
      </c>
      <c r="AD18" s="50">
        <v>11.8</v>
      </c>
      <c r="AE18" s="50">
        <v>11.8</v>
      </c>
      <c r="AF18" s="50">
        <v>11.8</v>
      </c>
      <c r="AG18" s="56">
        <v>30</v>
      </c>
      <c r="AH18" s="52">
        <f t="shared" si="2"/>
        <v>12.21</v>
      </c>
      <c r="AI18" s="53">
        <f t="shared" si="3"/>
        <v>11.8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8</v>
      </c>
      <c r="C19" s="50">
        <v>8</v>
      </c>
      <c r="D19" s="50">
        <v>8</v>
      </c>
      <c r="E19" s="50">
        <v>8</v>
      </c>
      <c r="F19" s="50">
        <v>9.3000000000000007</v>
      </c>
      <c r="G19" s="50">
        <v>9.3000000000000007</v>
      </c>
      <c r="H19" s="50">
        <v>9.3000000000000007</v>
      </c>
      <c r="I19" s="50">
        <v>9.3000000000000007</v>
      </c>
      <c r="J19" s="50">
        <v>9.3000000000000007</v>
      </c>
      <c r="K19" s="50">
        <v>9.3000000000000007</v>
      </c>
      <c r="L19" s="50">
        <v>9.3000000000000007</v>
      </c>
      <c r="M19" s="50">
        <v>9.3000000000000007</v>
      </c>
      <c r="N19" s="50">
        <v>9.3000000000000007</v>
      </c>
      <c r="O19" s="50">
        <v>9.3000000000000007</v>
      </c>
      <c r="P19" s="50">
        <v>9.3000000000000007</v>
      </c>
      <c r="Q19" s="50">
        <v>7.5</v>
      </c>
      <c r="R19" s="50">
        <v>7.5</v>
      </c>
      <c r="S19" s="50">
        <v>7.5</v>
      </c>
      <c r="T19" s="50">
        <v>7.5</v>
      </c>
      <c r="U19" s="50">
        <v>7.5</v>
      </c>
      <c r="V19" s="50">
        <v>7.5</v>
      </c>
      <c r="W19" s="50">
        <v>7.5</v>
      </c>
      <c r="X19" s="50">
        <v>7.5</v>
      </c>
      <c r="Y19" s="50">
        <v>7.5</v>
      </c>
      <c r="Z19" s="50">
        <v>7.5</v>
      </c>
      <c r="AA19" s="50">
        <v>7.2</v>
      </c>
      <c r="AB19" s="50">
        <v>7.2</v>
      </c>
      <c r="AC19" s="50">
        <v>7.2</v>
      </c>
      <c r="AD19" s="50">
        <v>7.2</v>
      </c>
      <c r="AE19" s="50">
        <v>7.2</v>
      </c>
      <c r="AF19" s="50">
        <v>7.2</v>
      </c>
      <c r="AG19" s="55">
        <v>24.2</v>
      </c>
      <c r="AH19" s="52">
        <f t="shared" si="2"/>
        <v>9.3000000000000007</v>
      </c>
      <c r="AI19" s="53">
        <f t="shared" si="3"/>
        <v>7.2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8.5</v>
      </c>
      <c r="C20" s="50">
        <v>8.5</v>
      </c>
      <c r="D20" s="50">
        <v>8.5</v>
      </c>
      <c r="E20" s="50">
        <v>8.5</v>
      </c>
      <c r="F20" s="50">
        <v>8.5</v>
      </c>
      <c r="G20" s="50">
        <v>8.5</v>
      </c>
      <c r="H20" s="50">
        <v>8.5</v>
      </c>
      <c r="I20" s="50">
        <v>8.5</v>
      </c>
      <c r="J20" s="50">
        <v>8.5</v>
      </c>
      <c r="K20" s="50">
        <v>8.5</v>
      </c>
      <c r="L20" s="50">
        <v>8.5</v>
      </c>
      <c r="M20" s="50">
        <v>9.5</v>
      </c>
      <c r="N20" s="50">
        <v>9.5</v>
      </c>
      <c r="O20" s="50">
        <v>9.5</v>
      </c>
      <c r="P20" s="50">
        <v>9.5</v>
      </c>
      <c r="Q20" s="50">
        <v>10</v>
      </c>
      <c r="R20" s="50">
        <v>10</v>
      </c>
      <c r="S20" s="50">
        <v>10</v>
      </c>
      <c r="T20" s="50">
        <v>10</v>
      </c>
      <c r="U20" s="50">
        <v>10</v>
      </c>
      <c r="V20" s="50">
        <v>10</v>
      </c>
      <c r="W20" s="50">
        <v>10</v>
      </c>
      <c r="X20" s="50">
        <v>10</v>
      </c>
      <c r="Y20" s="50">
        <v>10</v>
      </c>
      <c r="Z20" s="50">
        <v>10</v>
      </c>
      <c r="AA20" s="50">
        <v>10</v>
      </c>
      <c r="AB20" s="50">
        <v>10</v>
      </c>
      <c r="AC20" s="50">
        <v>10</v>
      </c>
      <c r="AD20" s="50">
        <v>10</v>
      </c>
      <c r="AE20" s="50">
        <v>10</v>
      </c>
      <c r="AF20" s="50">
        <v>10</v>
      </c>
      <c r="AG20" s="55">
        <v>28</v>
      </c>
      <c r="AH20" s="52">
        <f t="shared" si="2"/>
        <v>10</v>
      </c>
      <c r="AI20" s="53">
        <f t="shared" si="3"/>
        <v>8.5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6.5</v>
      </c>
      <c r="C21" s="50">
        <v>6.5</v>
      </c>
      <c r="D21" s="50">
        <v>6.5</v>
      </c>
      <c r="E21" s="50">
        <v>6.5</v>
      </c>
      <c r="F21" s="50">
        <v>6.5</v>
      </c>
      <c r="G21" s="50">
        <v>6.5</v>
      </c>
      <c r="H21" s="50">
        <v>6.5</v>
      </c>
      <c r="I21" s="50">
        <v>6.5</v>
      </c>
      <c r="J21" s="50">
        <v>6.5</v>
      </c>
      <c r="K21" s="50">
        <v>6.5</v>
      </c>
      <c r="L21" s="50">
        <v>6.5</v>
      </c>
      <c r="M21" s="50">
        <v>6.5</v>
      </c>
      <c r="N21" s="50">
        <v>6.5</v>
      </c>
      <c r="O21" s="50">
        <v>6.5</v>
      </c>
      <c r="P21" s="50">
        <v>6.5</v>
      </c>
      <c r="Q21" s="50">
        <v>6.8</v>
      </c>
      <c r="R21" s="50">
        <v>6.8</v>
      </c>
      <c r="S21" s="50">
        <v>6.8</v>
      </c>
      <c r="T21" s="50">
        <v>6.8</v>
      </c>
      <c r="U21" s="50">
        <v>6.8</v>
      </c>
      <c r="V21" s="50">
        <v>6.8</v>
      </c>
      <c r="W21" s="50">
        <v>6.8</v>
      </c>
      <c r="X21" s="50">
        <v>6.8</v>
      </c>
      <c r="Y21" s="50">
        <v>6.8</v>
      </c>
      <c r="Z21" s="50">
        <v>6.8</v>
      </c>
      <c r="AA21" s="50">
        <v>6.8</v>
      </c>
      <c r="AB21" s="50">
        <v>6.8</v>
      </c>
      <c r="AC21" s="50">
        <v>6.8</v>
      </c>
      <c r="AD21" s="50">
        <v>6.8</v>
      </c>
      <c r="AE21" s="50">
        <v>6.8</v>
      </c>
      <c r="AF21" s="50">
        <v>6.8</v>
      </c>
      <c r="AG21" s="56">
        <v>30</v>
      </c>
      <c r="AH21" s="52">
        <f t="shared" si="2"/>
        <v>6.8</v>
      </c>
      <c r="AI21" s="53">
        <f t="shared" si="3"/>
        <v>6.5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11.7</v>
      </c>
      <c r="C22" s="50">
        <v>11.7</v>
      </c>
      <c r="D22" s="50">
        <v>11.7</v>
      </c>
      <c r="E22" s="50">
        <v>11.7</v>
      </c>
      <c r="F22" s="50">
        <v>11.7</v>
      </c>
      <c r="G22" s="50">
        <v>11.7</v>
      </c>
      <c r="H22" s="50">
        <v>11.7</v>
      </c>
      <c r="I22" s="50">
        <v>11.7</v>
      </c>
      <c r="J22" s="50">
        <v>11.7</v>
      </c>
      <c r="K22" s="50">
        <v>11.7</v>
      </c>
      <c r="L22" s="50">
        <v>11.7</v>
      </c>
      <c r="M22" s="50">
        <v>11.7</v>
      </c>
      <c r="N22" s="50">
        <v>11.7</v>
      </c>
      <c r="O22" s="50">
        <v>11.7</v>
      </c>
      <c r="P22" s="50">
        <v>11.7</v>
      </c>
      <c r="Q22" s="50">
        <v>10.7</v>
      </c>
      <c r="R22" s="50">
        <v>10.7</v>
      </c>
      <c r="S22" s="50">
        <v>10.7</v>
      </c>
      <c r="T22" s="50">
        <v>10.7</v>
      </c>
      <c r="U22" s="50">
        <v>10.7</v>
      </c>
      <c r="V22" s="50">
        <v>10.7</v>
      </c>
      <c r="W22" s="50">
        <v>10.7</v>
      </c>
      <c r="X22" s="50">
        <v>10.7</v>
      </c>
      <c r="Y22" s="50">
        <v>10.7</v>
      </c>
      <c r="Z22" s="50">
        <v>10.7</v>
      </c>
      <c r="AA22" s="50">
        <v>12.8</v>
      </c>
      <c r="AB22" s="50">
        <v>12.8</v>
      </c>
      <c r="AC22" s="50">
        <v>12.8</v>
      </c>
      <c r="AD22" s="50">
        <v>12.8</v>
      </c>
      <c r="AE22" s="50">
        <v>12.8</v>
      </c>
      <c r="AF22" s="50">
        <v>12.8</v>
      </c>
      <c r="AG22" s="55">
        <v>25</v>
      </c>
      <c r="AH22" s="52">
        <f t="shared" si="2"/>
        <v>12.8</v>
      </c>
      <c r="AI22" s="53">
        <f t="shared" si="3"/>
        <v>10.7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10</v>
      </c>
      <c r="C23" s="50">
        <v>10</v>
      </c>
      <c r="D23" s="50">
        <v>10</v>
      </c>
      <c r="E23" s="50">
        <v>10</v>
      </c>
      <c r="F23" s="50">
        <v>10</v>
      </c>
      <c r="G23" s="50">
        <v>10</v>
      </c>
      <c r="H23" s="50">
        <v>10</v>
      </c>
      <c r="I23" s="50">
        <v>10</v>
      </c>
      <c r="J23" s="50">
        <v>10</v>
      </c>
      <c r="K23" s="50">
        <v>10</v>
      </c>
      <c r="L23" s="50">
        <v>10</v>
      </c>
      <c r="M23" s="50">
        <v>16</v>
      </c>
      <c r="N23" s="50">
        <v>16</v>
      </c>
      <c r="O23" s="50">
        <v>16</v>
      </c>
      <c r="P23" s="50">
        <v>16</v>
      </c>
      <c r="Q23" s="50">
        <v>16</v>
      </c>
      <c r="R23" s="50">
        <v>16</v>
      </c>
      <c r="S23" s="50">
        <v>16</v>
      </c>
      <c r="T23" s="50">
        <v>16</v>
      </c>
      <c r="U23" s="50">
        <v>16</v>
      </c>
      <c r="V23" s="50">
        <v>16</v>
      </c>
      <c r="W23" s="50">
        <v>16</v>
      </c>
      <c r="X23" s="50">
        <v>16</v>
      </c>
      <c r="Y23" s="50">
        <v>16</v>
      </c>
      <c r="Z23" s="50">
        <v>16</v>
      </c>
      <c r="AA23" s="50">
        <v>16</v>
      </c>
      <c r="AB23" s="50">
        <v>16</v>
      </c>
      <c r="AC23" s="50">
        <v>16</v>
      </c>
      <c r="AD23" s="50">
        <v>16</v>
      </c>
      <c r="AE23" s="50">
        <v>16</v>
      </c>
      <c r="AF23" s="50">
        <v>16</v>
      </c>
      <c r="AG23" s="55">
        <v>25</v>
      </c>
      <c r="AH23" s="52">
        <f t="shared" si="2"/>
        <v>16</v>
      </c>
      <c r="AI23" s="53">
        <f t="shared" si="3"/>
        <v>10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7.5</v>
      </c>
      <c r="C24" s="50">
        <v>7.5</v>
      </c>
      <c r="D24" s="50">
        <v>7.5</v>
      </c>
      <c r="E24" s="50">
        <v>7.5</v>
      </c>
      <c r="F24" s="50">
        <v>7.5</v>
      </c>
      <c r="G24" s="50">
        <v>7.5</v>
      </c>
      <c r="H24" s="50">
        <v>7.5</v>
      </c>
      <c r="I24" s="50">
        <v>7.5</v>
      </c>
      <c r="J24" s="50">
        <v>7.5</v>
      </c>
      <c r="K24" s="50">
        <v>7.5</v>
      </c>
      <c r="L24" s="50">
        <v>7.5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7.5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18</v>
      </c>
      <c r="C25" s="50">
        <v>18</v>
      </c>
      <c r="D25" s="50">
        <v>18</v>
      </c>
      <c r="E25" s="50">
        <v>18</v>
      </c>
      <c r="F25" s="50">
        <v>18</v>
      </c>
      <c r="G25" s="50">
        <v>18</v>
      </c>
      <c r="H25" s="50">
        <v>18</v>
      </c>
      <c r="I25" s="50">
        <v>18</v>
      </c>
      <c r="J25" s="50">
        <v>18</v>
      </c>
      <c r="K25" s="50">
        <v>18</v>
      </c>
      <c r="L25" s="50">
        <v>18</v>
      </c>
      <c r="M25" s="50">
        <v>9</v>
      </c>
      <c r="N25" s="50">
        <v>9</v>
      </c>
      <c r="O25" s="50">
        <v>9</v>
      </c>
      <c r="P25" s="50">
        <v>9</v>
      </c>
      <c r="Q25" s="50">
        <v>12</v>
      </c>
      <c r="R25" s="50">
        <v>12</v>
      </c>
      <c r="S25" s="50">
        <v>12</v>
      </c>
      <c r="T25" s="50">
        <v>12</v>
      </c>
      <c r="U25" s="50">
        <v>12</v>
      </c>
      <c r="V25" s="50">
        <v>12</v>
      </c>
      <c r="W25" s="50">
        <v>12</v>
      </c>
      <c r="X25" s="50">
        <v>12</v>
      </c>
      <c r="Y25" s="50">
        <v>12</v>
      </c>
      <c r="Z25" s="50">
        <v>12</v>
      </c>
      <c r="AA25" s="50">
        <v>12</v>
      </c>
      <c r="AB25" s="50">
        <v>12</v>
      </c>
      <c r="AC25" s="50">
        <v>12</v>
      </c>
      <c r="AD25" s="50">
        <v>12</v>
      </c>
      <c r="AE25" s="50">
        <v>12</v>
      </c>
      <c r="AF25" s="50">
        <v>12</v>
      </c>
      <c r="AG25" s="55">
        <v>25</v>
      </c>
      <c r="AH25" s="52">
        <f t="shared" si="2"/>
        <v>18</v>
      </c>
      <c r="AI25" s="53">
        <f t="shared" si="3"/>
        <v>9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6.6</v>
      </c>
      <c r="C26" s="50">
        <v>6.6</v>
      </c>
      <c r="D26" s="50">
        <v>6.6</v>
      </c>
      <c r="E26" s="50">
        <v>6.6</v>
      </c>
      <c r="F26" s="50">
        <v>6.6</v>
      </c>
      <c r="G26" s="50">
        <v>6.6</v>
      </c>
      <c r="H26" s="50">
        <v>6.6</v>
      </c>
      <c r="I26" s="50">
        <v>6.6</v>
      </c>
      <c r="J26" s="50">
        <v>6.6</v>
      </c>
      <c r="K26" s="50">
        <v>6.6</v>
      </c>
      <c r="L26" s="50">
        <v>6.6</v>
      </c>
      <c r="M26" s="50">
        <v>7.6</v>
      </c>
      <c r="N26" s="50">
        <v>7.6</v>
      </c>
      <c r="O26" s="50">
        <v>7.6</v>
      </c>
      <c r="P26" s="50">
        <v>7.6</v>
      </c>
      <c r="Q26" s="50">
        <v>7.7</v>
      </c>
      <c r="R26" s="50">
        <v>7.7</v>
      </c>
      <c r="S26" s="50">
        <v>7.7</v>
      </c>
      <c r="T26" s="50">
        <v>7.7</v>
      </c>
      <c r="U26" s="50">
        <v>7.7</v>
      </c>
      <c r="V26" s="50">
        <v>7.7</v>
      </c>
      <c r="W26" s="50">
        <v>7.7</v>
      </c>
      <c r="X26" s="50">
        <v>7.7</v>
      </c>
      <c r="Y26" s="50">
        <v>7.7</v>
      </c>
      <c r="Z26" s="50">
        <v>7.7</v>
      </c>
      <c r="AA26" s="50">
        <v>6.3</v>
      </c>
      <c r="AB26" s="50">
        <v>6.3</v>
      </c>
      <c r="AC26" s="50">
        <v>6.3</v>
      </c>
      <c r="AD26" s="50">
        <v>6.3</v>
      </c>
      <c r="AE26" s="50">
        <v>6.3</v>
      </c>
      <c r="AF26" s="50">
        <v>6.3</v>
      </c>
      <c r="AG26" s="55">
        <v>23.5</v>
      </c>
      <c r="AH26" s="52">
        <f t="shared" si="2"/>
        <v>7.7</v>
      </c>
      <c r="AI26" s="53">
        <f t="shared" si="3"/>
        <v>6.3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3.5</v>
      </c>
      <c r="N27" s="50">
        <v>3.5</v>
      </c>
      <c r="O27" s="50">
        <v>3.5</v>
      </c>
      <c r="P27" s="50">
        <v>3.5</v>
      </c>
      <c r="Q27" s="50">
        <v>3.5</v>
      </c>
      <c r="R27" s="50">
        <v>3.5</v>
      </c>
      <c r="S27" s="50">
        <v>3.5</v>
      </c>
      <c r="T27" s="50">
        <v>3.5</v>
      </c>
      <c r="U27" s="50">
        <v>3.5</v>
      </c>
      <c r="V27" s="50">
        <v>3.5</v>
      </c>
      <c r="W27" s="50">
        <v>3.5</v>
      </c>
      <c r="X27" s="50">
        <v>3.5</v>
      </c>
      <c r="Y27" s="50">
        <v>3.5</v>
      </c>
      <c r="Z27" s="50">
        <v>3.5</v>
      </c>
      <c r="AA27" s="50">
        <v>3.5</v>
      </c>
      <c r="AB27" s="50">
        <v>3.5</v>
      </c>
      <c r="AC27" s="50">
        <v>3.5</v>
      </c>
      <c r="AD27" s="50">
        <v>3.5</v>
      </c>
      <c r="AE27" s="50">
        <v>3.5</v>
      </c>
      <c r="AF27" s="50">
        <v>3.5</v>
      </c>
      <c r="AG27" s="55">
        <v>22.2</v>
      </c>
      <c r="AH27" s="52">
        <f t="shared" si="2"/>
        <v>3.5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3</v>
      </c>
      <c r="N29" s="50">
        <v>3</v>
      </c>
      <c r="O29" s="50">
        <v>3</v>
      </c>
      <c r="P29" s="50">
        <v>3</v>
      </c>
      <c r="Q29" s="50">
        <v>3</v>
      </c>
      <c r="R29" s="50">
        <v>3</v>
      </c>
      <c r="S29" s="50">
        <v>3</v>
      </c>
      <c r="T29" s="50">
        <v>3</v>
      </c>
      <c r="U29" s="50">
        <v>3</v>
      </c>
      <c r="V29" s="50">
        <v>3</v>
      </c>
      <c r="W29" s="50">
        <v>3</v>
      </c>
      <c r="X29" s="50">
        <v>3</v>
      </c>
      <c r="Y29" s="50">
        <v>3</v>
      </c>
      <c r="Z29" s="50">
        <v>3</v>
      </c>
      <c r="AA29" s="50">
        <v>3</v>
      </c>
      <c r="AB29" s="50">
        <v>3</v>
      </c>
      <c r="AC29" s="50">
        <v>3</v>
      </c>
      <c r="AD29" s="50">
        <v>3</v>
      </c>
      <c r="AE29" s="50">
        <v>3</v>
      </c>
      <c r="AF29" s="50">
        <v>3</v>
      </c>
      <c r="AG29" s="55">
        <v>22</v>
      </c>
      <c r="AH29" s="52">
        <f t="shared" si="2"/>
        <v>4</v>
      </c>
      <c r="AI29" s="53">
        <f t="shared" si="3"/>
        <v>3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9.9</v>
      </c>
      <c r="C30" s="50">
        <v>9.9</v>
      </c>
      <c r="D30" s="50">
        <v>9.9</v>
      </c>
      <c r="E30" s="50">
        <v>9.9</v>
      </c>
      <c r="F30" s="50">
        <v>9.9</v>
      </c>
      <c r="G30" s="50">
        <v>9.9</v>
      </c>
      <c r="H30" s="50">
        <v>9.9</v>
      </c>
      <c r="I30" s="50">
        <v>9.9</v>
      </c>
      <c r="J30" s="50">
        <v>9.9</v>
      </c>
      <c r="K30" s="50">
        <v>9.9</v>
      </c>
      <c r="L30" s="50">
        <v>9.9</v>
      </c>
      <c r="M30" s="50">
        <v>8.6</v>
      </c>
      <c r="N30" s="50">
        <v>8.8000000000000007</v>
      </c>
      <c r="O30" s="50">
        <v>8.6</v>
      </c>
      <c r="P30" s="50">
        <v>8.6999999999999993</v>
      </c>
      <c r="Q30" s="50">
        <v>8.5</v>
      </c>
      <c r="R30" s="50">
        <v>8.5</v>
      </c>
      <c r="S30" s="50">
        <v>8.5</v>
      </c>
      <c r="T30" s="50">
        <v>8.5</v>
      </c>
      <c r="U30" s="50">
        <v>8.5</v>
      </c>
      <c r="V30" s="50">
        <v>8.5</v>
      </c>
      <c r="W30" s="50">
        <v>8.5</v>
      </c>
      <c r="X30" s="50">
        <v>8.5</v>
      </c>
      <c r="Y30" s="50">
        <v>8.5</v>
      </c>
      <c r="Z30" s="50">
        <v>8.5</v>
      </c>
      <c r="AA30" s="50">
        <v>8.5</v>
      </c>
      <c r="AB30" s="50">
        <v>8.5</v>
      </c>
      <c r="AC30" s="50">
        <v>8.5</v>
      </c>
      <c r="AD30" s="50">
        <v>8.5</v>
      </c>
      <c r="AE30" s="50">
        <v>8.5</v>
      </c>
      <c r="AF30" s="50">
        <v>8.5</v>
      </c>
      <c r="AG30" s="55">
        <v>22</v>
      </c>
      <c r="AH30" s="52">
        <f t="shared" si="2"/>
        <v>9.9</v>
      </c>
      <c r="AI30" s="53">
        <f t="shared" si="3"/>
        <v>8.5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8</v>
      </c>
      <c r="R31" s="50">
        <v>8</v>
      </c>
      <c r="S31" s="50">
        <v>8</v>
      </c>
      <c r="T31" s="50">
        <v>8</v>
      </c>
      <c r="U31" s="50">
        <v>8</v>
      </c>
      <c r="V31" s="50">
        <v>8</v>
      </c>
      <c r="W31" s="50">
        <v>8</v>
      </c>
      <c r="X31" s="50">
        <v>8</v>
      </c>
      <c r="Y31" s="50">
        <v>8</v>
      </c>
      <c r="Z31" s="50">
        <v>8</v>
      </c>
      <c r="AA31" s="50">
        <v>8</v>
      </c>
      <c r="AB31" s="50">
        <v>8</v>
      </c>
      <c r="AC31" s="50">
        <v>8</v>
      </c>
      <c r="AD31" s="50">
        <v>8</v>
      </c>
      <c r="AE31" s="50">
        <v>8</v>
      </c>
      <c r="AF31" s="50">
        <v>8</v>
      </c>
      <c r="AG31" s="55">
        <v>20</v>
      </c>
      <c r="AH31" s="52">
        <f t="shared" si="2"/>
        <v>8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6.4</v>
      </c>
      <c r="C32" s="50">
        <v>6.4</v>
      </c>
      <c r="D32" s="50">
        <v>6.4</v>
      </c>
      <c r="E32" s="50">
        <v>6.4</v>
      </c>
      <c r="F32" s="50">
        <v>6.4</v>
      </c>
      <c r="G32" s="50">
        <v>6.4</v>
      </c>
      <c r="H32" s="50">
        <v>6.4</v>
      </c>
      <c r="I32" s="50">
        <v>6.4</v>
      </c>
      <c r="J32" s="50">
        <v>6.4</v>
      </c>
      <c r="K32" s="50">
        <v>6.4</v>
      </c>
      <c r="L32" s="50">
        <v>6.4</v>
      </c>
      <c r="M32" s="50">
        <v>6.4</v>
      </c>
      <c r="N32" s="50">
        <v>6.4</v>
      </c>
      <c r="O32" s="50">
        <v>6.4</v>
      </c>
      <c r="P32" s="50">
        <v>6.4</v>
      </c>
      <c r="Q32" s="50">
        <v>6.4</v>
      </c>
      <c r="R32" s="50">
        <v>6.4</v>
      </c>
      <c r="S32" s="50">
        <v>6.4</v>
      </c>
      <c r="T32" s="50">
        <v>6.4</v>
      </c>
      <c r="U32" s="50">
        <v>6.4</v>
      </c>
      <c r="V32" s="50">
        <v>6.4</v>
      </c>
      <c r="W32" s="50">
        <v>6.4</v>
      </c>
      <c r="X32" s="50">
        <v>6.4</v>
      </c>
      <c r="Y32" s="50">
        <v>6.4</v>
      </c>
      <c r="Z32" s="50">
        <v>6.4</v>
      </c>
      <c r="AA32" s="50">
        <v>6.4</v>
      </c>
      <c r="AB32" s="50">
        <v>6.4</v>
      </c>
      <c r="AC32" s="50">
        <v>6.4</v>
      </c>
      <c r="AD32" s="50">
        <v>6.4</v>
      </c>
      <c r="AE32" s="50">
        <v>6.4</v>
      </c>
      <c r="AF32" s="50">
        <v>6.4</v>
      </c>
      <c r="AG32" s="55">
        <v>18</v>
      </c>
      <c r="AH32" s="52">
        <f t="shared" si="2"/>
        <v>6.4</v>
      </c>
      <c r="AI32" s="53">
        <f t="shared" si="3"/>
        <v>6.4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8.9</v>
      </c>
      <c r="C33" s="50">
        <v>8.9</v>
      </c>
      <c r="D33" s="50">
        <v>8.9</v>
      </c>
      <c r="E33" s="50">
        <v>8.9</v>
      </c>
      <c r="F33" s="50">
        <v>8.9</v>
      </c>
      <c r="G33" s="50">
        <v>8.9</v>
      </c>
      <c r="H33" s="50">
        <v>8.9</v>
      </c>
      <c r="I33" s="50">
        <v>8.9</v>
      </c>
      <c r="J33" s="50">
        <v>8.9</v>
      </c>
      <c r="K33" s="50">
        <v>8.9</v>
      </c>
      <c r="L33" s="50">
        <v>8.9</v>
      </c>
      <c r="M33" s="50">
        <v>8.9</v>
      </c>
      <c r="N33" s="50">
        <v>8.9</v>
      </c>
      <c r="O33" s="50">
        <v>8.9</v>
      </c>
      <c r="P33" s="50">
        <v>8.9</v>
      </c>
      <c r="Q33" s="50">
        <v>8.9</v>
      </c>
      <c r="R33" s="50">
        <v>8.9</v>
      </c>
      <c r="S33" s="50">
        <v>8.9</v>
      </c>
      <c r="T33" s="50">
        <v>8.9</v>
      </c>
      <c r="U33" s="50">
        <v>8.9</v>
      </c>
      <c r="V33" s="50">
        <v>8.9</v>
      </c>
      <c r="W33" s="50">
        <v>8.9</v>
      </c>
      <c r="X33" s="50">
        <v>8.9</v>
      </c>
      <c r="Y33" s="50">
        <v>8.9</v>
      </c>
      <c r="Z33" s="50">
        <v>8.9</v>
      </c>
      <c r="AA33" s="50">
        <v>8.9</v>
      </c>
      <c r="AB33" s="50">
        <v>8.9</v>
      </c>
      <c r="AC33" s="50">
        <v>8.9</v>
      </c>
      <c r="AD33" s="50">
        <v>8.9</v>
      </c>
      <c r="AE33" s="50">
        <v>8.9</v>
      </c>
      <c r="AF33" s="50">
        <v>8.9</v>
      </c>
      <c r="AG33" s="55">
        <v>14.9</v>
      </c>
      <c r="AH33" s="52">
        <f t="shared" si="2"/>
        <v>8.9</v>
      </c>
      <c r="AI33" s="53">
        <f t="shared" si="3"/>
        <v>8.9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4</v>
      </c>
      <c r="C38" s="50">
        <v>4</v>
      </c>
      <c r="D38" s="50">
        <v>4</v>
      </c>
      <c r="E38" s="50">
        <v>4</v>
      </c>
      <c r="F38" s="50">
        <v>4</v>
      </c>
      <c r="G38" s="50">
        <v>4</v>
      </c>
      <c r="H38" s="50">
        <v>4</v>
      </c>
      <c r="I38" s="50">
        <v>4</v>
      </c>
      <c r="J38" s="50">
        <v>4</v>
      </c>
      <c r="K38" s="50">
        <v>4</v>
      </c>
      <c r="L38" s="50">
        <v>4</v>
      </c>
      <c r="M38" s="50">
        <v>4</v>
      </c>
      <c r="N38" s="50">
        <v>4</v>
      </c>
      <c r="O38" s="50">
        <v>4</v>
      </c>
      <c r="P38" s="50">
        <v>4</v>
      </c>
      <c r="Q38" s="50">
        <v>4</v>
      </c>
      <c r="R38" s="50">
        <v>4</v>
      </c>
      <c r="S38" s="50">
        <v>4</v>
      </c>
      <c r="T38" s="50">
        <v>4</v>
      </c>
      <c r="U38" s="50">
        <v>4</v>
      </c>
      <c r="V38" s="50">
        <v>4</v>
      </c>
      <c r="W38" s="50">
        <v>4</v>
      </c>
      <c r="X38" s="50">
        <v>4</v>
      </c>
      <c r="Y38" s="50">
        <v>4</v>
      </c>
      <c r="Z38" s="50">
        <v>4</v>
      </c>
      <c r="AA38" s="50">
        <v>4</v>
      </c>
      <c r="AB38" s="50">
        <v>4</v>
      </c>
      <c r="AC38" s="50">
        <v>4</v>
      </c>
      <c r="AD38" s="50">
        <v>4</v>
      </c>
      <c r="AE38" s="50">
        <v>4</v>
      </c>
      <c r="AF38" s="50">
        <v>4</v>
      </c>
      <c r="AG38" s="55">
        <v>12</v>
      </c>
      <c r="AH38" s="52">
        <f t="shared" si="2"/>
        <v>4</v>
      </c>
      <c r="AI38" s="53">
        <f t="shared" si="3"/>
        <v>4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3.6</v>
      </c>
      <c r="C42" s="50">
        <v>3.6</v>
      </c>
      <c r="D42" s="50">
        <v>3.6</v>
      </c>
      <c r="E42" s="50">
        <v>3.6</v>
      </c>
      <c r="F42" s="50">
        <v>3.6</v>
      </c>
      <c r="G42" s="50">
        <v>3.6</v>
      </c>
      <c r="H42" s="50">
        <v>3.6</v>
      </c>
      <c r="I42" s="50">
        <v>3.6</v>
      </c>
      <c r="J42" s="50">
        <v>3.6</v>
      </c>
      <c r="K42" s="50">
        <v>3.6</v>
      </c>
      <c r="L42" s="50">
        <v>3.6</v>
      </c>
      <c r="M42" s="50">
        <v>3.6</v>
      </c>
      <c r="N42" s="50">
        <v>3.6</v>
      </c>
      <c r="O42" s="50">
        <v>3.6</v>
      </c>
      <c r="P42" s="50">
        <v>3.6</v>
      </c>
      <c r="Q42" s="50">
        <v>3.6</v>
      </c>
      <c r="R42" s="50">
        <v>3.6</v>
      </c>
      <c r="S42" s="50">
        <v>3.6</v>
      </c>
      <c r="T42" s="50">
        <v>3.6</v>
      </c>
      <c r="U42" s="50">
        <v>3.6</v>
      </c>
      <c r="V42" s="50">
        <v>3.6</v>
      </c>
      <c r="W42" s="50">
        <v>3.6</v>
      </c>
      <c r="X42" s="50">
        <v>3.6</v>
      </c>
      <c r="Y42" s="50">
        <v>3.6</v>
      </c>
      <c r="Z42" s="50">
        <v>3.6</v>
      </c>
      <c r="AA42" s="50">
        <v>3.6</v>
      </c>
      <c r="AB42" s="50">
        <v>3.6</v>
      </c>
      <c r="AC42" s="50">
        <v>3.6</v>
      </c>
      <c r="AD42" s="50">
        <v>3.6</v>
      </c>
      <c r="AE42" s="50">
        <v>3.6</v>
      </c>
      <c r="AF42" s="50">
        <v>3.6</v>
      </c>
      <c r="AG42" s="61">
        <v>11</v>
      </c>
      <c r="AH42" s="52">
        <f t="shared" si="2"/>
        <v>3.6</v>
      </c>
      <c r="AI42" s="53">
        <f t="shared" si="3"/>
        <v>3.6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3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3</v>
      </c>
      <c r="I43" s="50">
        <v>3</v>
      </c>
      <c r="J43" s="50">
        <v>3</v>
      </c>
      <c r="K43" s="50">
        <v>3</v>
      </c>
      <c r="L43" s="50">
        <v>3</v>
      </c>
      <c r="M43" s="50">
        <v>5</v>
      </c>
      <c r="N43" s="50">
        <v>5</v>
      </c>
      <c r="O43" s="50">
        <v>5</v>
      </c>
      <c r="P43" s="50">
        <v>5</v>
      </c>
      <c r="Q43" s="50">
        <v>5</v>
      </c>
      <c r="R43" s="50">
        <v>5</v>
      </c>
      <c r="S43" s="50">
        <v>5</v>
      </c>
      <c r="T43" s="50">
        <v>5</v>
      </c>
      <c r="U43" s="50">
        <v>5</v>
      </c>
      <c r="V43" s="50">
        <v>5</v>
      </c>
      <c r="W43" s="50">
        <v>5</v>
      </c>
      <c r="X43" s="50">
        <v>5</v>
      </c>
      <c r="Y43" s="50">
        <v>5</v>
      </c>
      <c r="Z43" s="50">
        <v>5</v>
      </c>
      <c r="AA43" s="50">
        <v>5</v>
      </c>
      <c r="AB43" s="50">
        <v>5</v>
      </c>
      <c r="AC43" s="50">
        <v>5</v>
      </c>
      <c r="AD43" s="50">
        <v>5</v>
      </c>
      <c r="AE43" s="50">
        <v>5</v>
      </c>
      <c r="AF43" s="50">
        <v>5</v>
      </c>
      <c r="AG43" s="61">
        <v>10</v>
      </c>
      <c r="AH43" s="52">
        <f t="shared" si="2"/>
        <v>5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6.7</v>
      </c>
      <c r="N44" s="50">
        <v>6.7</v>
      </c>
      <c r="O44" s="50">
        <v>6.7</v>
      </c>
      <c r="P44" s="50">
        <v>6.7</v>
      </c>
      <c r="Q44" s="50">
        <v>6.7</v>
      </c>
      <c r="R44" s="50">
        <v>6.7</v>
      </c>
      <c r="S44" s="50">
        <v>6.7</v>
      </c>
      <c r="T44" s="50">
        <v>6.7</v>
      </c>
      <c r="U44" s="50">
        <v>6.7</v>
      </c>
      <c r="V44" s="50">
        <v>6.7</v>
      </c>
      <c r="W44" s="50">
        <v>6.7</v>
      </c>
      <c r="X44" s="50">
        <v>6.7</v>
      </c>
      <c r="Y44" s="50">
        <v>6.7</v>
      </c>
      <c r="Z44" s="50">
        <v>6.7</v>
      </c>
      <c r="AA44" s="50">
        <v>6.7</v>
      </c>
      <c r="AB44" s="50">
        <v>6.7</v>
      </c>
      <c r="AC44" s="50">
        <v>6.7</v>
      </c>
      <c r="AD44" s="50">
        <v>6.7</v>
      </c>
      <c r="AE44" s="50">
        <v>6.7</v>
      </c>
      <c r="AF44" s="50">
        <v>6.7</v>
      </c>
      <c r="AG44" s="61">
        <v>10</v>
      </c>
      <c r="AH44" s="52">
        <f t="shared" si="2"/>
        <v>6.7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150</v>
      </c>
      <c r="C46" s="63">
        <v>150</v>
      </c>
      <c r="D46" s="63">
        <v>150</v>
      </c>
      <c r="E46" s="63">
        <v>150</v>
      </c>
      <c r="F46" s="63">
        <v>150</v>
      </c>
      <c r="G46" s="63">
        <v>150</v>
      </c>
      <c r="H46" s="63">
        <v>150</v>
      </c>
      <c r="I46" s="63">
        <v>150</v>
      </c>
      <c r="J46" s="63">
        <v>150</v>
      </c>
      <c r="K46" s="63">
        <v>150</v>
      </c>
      <c r="L46" s="63">
        <v>150</v>
      </c>
      <c r="M46" s="63">
        <v>150</v>
      </c>
      <c r="N46" s="63">
        <v>150</v>
      </c>
      <c r="O46" s="63">
        <v>150</v>
      </c>
      <c r="P46" s="63">
        <v>150</v>
      </c>
      <c r="Q46" s="63">
        <v>150</v>
      </c>
      <c r="R46" s="63">
        <v>150</v>
      </c>
      <c r="S46" s="63">
        <v>150</v>
      </c>
      <c r="T46" s="63">
        <v>150</v>
      </c>
      <c r="U46" s="63">
        <v>150</v>
      </c>
      <c r="V46" s="63">
        <v>150</v>
      </c>
      <c r="W46" s="63">
        <v>150</v>
      </c>
      <c r="X46" s="63">
        <v>150</v>
      </c>
      <c r="Y46" s="63">
        <v>150</v>
      </c>
      <c r="Z46" s="63">
        <v>150</v>
      </c>
      <c r="AA46" s="63">
        <v>150</v>
      </c>
      <c r="AB46" s="63">
        <v>150</v>
      </c>
      <c r="AC46" s="63">
        <v>150</v>
      </c>
      <c r="AD46" s="63">
        <v>150</v>
      </c>
      <c r="AE46" s="63">
        <v>150</v>
      </c>
      <c r="AF46" s="63">
        <v>150</v>
      </c>
      <c r="AG46" s="61">
        <v>85</v>
      </c>
      <c r="AH46" s="52">
        <f t="shared" si="2"/>
        <v>150</v>
      </c>
      <c r="AI46" s="53">
        <f t="shared" si="3"/>
        <v>150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>SUM(B11:B46)</f>
        <v>474.49999999999994</v>
      </c>
      <c r="C48" s="67">
        <f t="shared" ref="C48:AF48" si="4">SUM(C11:C46)</f>
        <v>474.49999999999994</v>
      </c>
      <c r="D48" s="67">
        <f t="shared" si="4"/>
        <v>471.7999999999999</v>
      </c>
      <c r="E48" s="67">
        <f t="shared" si="4"/>
        <v>469.39999999999992</v>
      </c>
      <c r="F48" s="67">
        <f t="shared" si="4"/>
        <v>471.09999999999991</v>
      </c>
      <c r="G48" s="67">
        <f t="shared" si="4"/>
        <v>470.99999999999994</v>
      </c>
      <c r="H48" s="67">
        <f t="shared" si="4"/>
        <v>483.29999999999995</v>
      </c>
      <c r="I48" s="67">
        <f t="shared" si="4"/>
        <v>479.90999999999997</v>
      </c>
      <c r="J48" s="67">
        <f t="shared" si="4"/>
        <v>478.49999999999994</v>
      </c>
      <c r="K48" s="67">
        <f t="shared" si="4"/>
        <v>478.49999999999994</v>
      </c>
      <c r="L48" s="67">
        <f t="shared" si="4"/>
        <v>478.49999999999994</v>
      </c>
      <c r="M48" s="67">
        <f t="shared" si="4"/>
        <v>476.89999999999992</v>
      </c>
      <c r="N48" s="67">
        <f t="shared" si="4"/>
        <v>477.09999999999991</v>
      </c>
      <c r="O48" s="67">
        <f t="shared" si="4"/>
        <v>475.47999999999996</v>
      </c>
      <c r="P48" s="67">
        <f t="shared" si="4"/>
        <v>475.99999999999994</v>
      </c>
      <c r="Q48" s="67">
        <f t="shared" si="4"/>
        <v>475.9</v>
      </c>
      <c r="R48" s="67">
        <f t="shared" si="4"/>
        <v>473.19999999999993</v>
      </c>
      <c r="S48" s="67">
        <f t="shared" si="4"/>
        <v>473.19999999999993</v>
      </c>
      <c r="T48" s="67">
        <f t="shared" ref="T48" si="5">SUM(T11:T46)</f>
        <v>471.49999999999994</v>
      </c>
      <c r="U48" s="67">
        <f t="shared" si="4"/>
        <v>471.49999999999994</v>
      </c>
      <c r="V48" s="67">
        <f t="shared" si="4"/>
        <v>466.69999999999993</v>
      </c>
      <c r="W48" s="67">
        <f t="shared" si="4"/>
        <v>466.69999999999993</v>
      </c>
      <c r="X48" s="67">
        <f t="shared" si="4"/>
        <v>466.69999999999993</v>
      </c>
      <c r="Y48" s="67">
        <f t="shared" si="4"/>
        <v>466.69999999999993</v>
      </c>
      <c r="Z48" s="67">
        <f t="shared" si="4"/>
        <v>466.69999999999993</v>
      </c>
      <c r="AA48" s="67">
        <v>473.7</v>
      </c>
      <c r="AB48" s="67">
        <f t="shared" si="4"/>
        <v>472</v>
      </c>
      <c r="AC48" s="67">
        <f t="shared" si="4"/>
        <v>472</v>
      </c>
      <c r="AD48" s="67">
        <f t="shared" si="4"/>
        <v>472</v>
      </c>
      <c r="AE48" s="67">
        <f t="shared" si="4"/>
        <v>472</v>
      </c>
      <c r="AF48" s="67">
        <f t="shared" si="4"/>
        <v>472</v>
      </c>
      <c r="AG48" s="68">
        <f t="shared" ref="AG48" si="6">SUM(AG12:AG46)</f>
        <v>875.68</v>
      </c>
      <c r="AH48" s="52">
        <f t="shared" si="2"/>
        <v>483.29999999999995</v>
      </c>
      <c r="AI48" s="53">
        <f t="shared" si="3"/>
        <v>466.69999999999993</v>
      </c>
      <c r="AK48" s="54"/>
    </row>
    <row r="49" spans="1:41" x14ac:dyDescent="0.25">
      <c r="A49" s="69" t="s">
        <v>57</v>
      </c>
      <c r="B49" s="50">
        <v>30</v>
      </c>
      <c r="C49" s="50">
        <v>0</v>
      </c>
      <c r="D49" s="50">
        <v>0</v>
      </c>
      <c r="E49" s="50">
        <v>0</v>
      </c>
      <c r="F49" s="50">
        <v>30</v>
      </c>
      <c r="G49" s="50">
        <v>15</v>
      </c>
      <c r="H49" s="50">
        <v>30</v>
      </c>
      <c r="I49" s="50">
        <v>30</v>
      </c>
      <c r="J49" s="50">
        <v>76</v>
      </c>
      <c r="K49" s="50">
        <v>100</v>
      </c>
      <c r="L49" s="50">
        <v>80</v>
      </c>
      <c r="M49" s="70">
        <v>70</v>
      </c>
      <c r="N49" s="70">
        <v>75</v>
      </c>
      <c r="O49" s="50">
        <v>75</v>
      </c>
      <c r="P49" s="50">
        <v>75</v>
      </c>
      <c r="Q49" s="50">
        <v>76</v>
      </c>
      <c r="R49" s="50">
        <v>76</v>
      </c>
      <c r="S49" s="50">
        <v>120</v>
      </c>
      <c r="T49" s="50">
        <v>40</v>
      </c>
      <c r="U49" s="50">
        <v>40</v>
      </c>
      <c r="V49" s="50">
        <v>40</v>
      </c>
      <c r="W49" s="50">
        <v>40</v>
      </c>
      <c r="X49" s="50">
        <v>40</v>
      </c>
      <c r="Y49" s="50">
        <v>55</v>
      </c>
      <c r="Z49" s="50">
        <v>90</v>
      </c>
      <c r="AA49" s="50">
        <v>240</v>
      </c>
      <c r="AB49" s="50">
        <v>220</v>
      </c>
      <c r="AC49" s="50">
        <v>220</v>
      </c>
      <c r="AD49" s="50">
        <v>140</v>
      </c>
      <c r="AE49" s="50">
        <v>150</v>
      </c>
      <c r="AF49" s="50">
        <v>200</v>
      </c>
      <c r="AG49" s="56">
        <v>456</v>
      </c>
      <c r="AH49" s="52">
        <f t="shared" si="2"/>
        <v>240</v>
      </c>
      <c r="AI49" s="53">
        <f t="shared" si="3"/>
        <v>0</v>
      </c>
      <c r="AK49" s="54"/>
    </row>
    <row r="50" spans="1:41" x14ac:dyDescent="0.25">
      <c r="A50" s="71" t="s">
        <v>58</v>
      </c>
      <c r="B50" s="72">
        <v>44</v>
      </c>
      <c r="C50" s="72">
        <v>44</v>
      </c>
      <c r="D50" s="72">
        <v>44</v>
      </c>
      <c r="E50" s="72">
        <v>30</v>
      </c>
      <c r="F50" s="72">
        <v>30</v>
      </c>
      <c r="G50" s="72">
        <v>30</v>
      </c>
      <c r="H50" s="72">
        <v>33</v>
      </c>
      <c r="I50" s="72">
        <v>33</v>
      </c>
      <c r="J50" s="72">
        <v>33</v>
      </c>
      <c r="K50" s="72">
        <v>33</v>
      </c>
      <c r="L50" s="72">
        <v>33</v>
      </c>
      <c r="M50" s="72">
        <v>33</v>
      </c>
      <c r="N50" s="72">
        <v>32</v>
      </c>
      <c r="O50" s="72">
        <v>32</v>
      </c>
      <c r="P50" s="72">
        <v>32</v>
      </c>
      <c r="Q50" s="72">
        <v>32</v>
      </c>
      <c r="R50" s="72">
        <v>32</v>
      </c>
      <c r="S50" s="72">
        <v>32</v>
      </c>
      <c r="T50" s="72">
        <v>32</v>
      </c>
      <c r="U50" s="72">
        <v>32</v>
      </c>
      <c r="V50" s="72">
        <v>32</v>
      </c>
      <c r="W50" s="72">
        <v>32</v>
      </c>
      <c r="X50" s="72">
        <v>32</v>
      </c>
      <c r="Y50" s="72">
        <v>32</v>
      </c>
      <c r="Z50" s="72">
        <v>32</v>
      </c>
      <c r="AA50" s="72">
        <v>32</v>
      </c>
      <c r="AB50" s="72">
        <v>32</v>
      </c>
      <c r="AC50" s="72">
        <v>32</v>
      </c>
      <c r="AD50" s="72">
        <v>32</v>
      </c>
      <c r="AE50" s="72">
        <v>32</v>
      </c>
      <c r="AF50" s="72">
        <v>32</v>
      </c>
      <c r="AG50" s="61">
        <v>60</v>
      </c>
      <c r="AH50" s="52">
        <f t="shared" si="2"/>
        <v>44</v>
      </c>
      <c r="AI50" s="53">
        <f t="shared" si="3"/>
        <v>30</v>
      </c>
      <c r="AK50" s="54"/>
    </row>
    <row r="51" spans="1:41" ht="15.75" thickBot="1" x14ac:dyDescent="0.3">
      <c r="A51" s="73" t="s">
        <v>59</v>
      </c>
      <c r="B51" s="74">
        <v>12.7</v>
      </c>
      <c r="C51" s="74">
        <v>12.7</v>
      </c>
      <c r="D51" s="74">
        <v>12.7</v>
      </c>
      <c r="E51" s="74">
        <v>12.7</v>
      </c>
      <c r="F51" s="74">
        <v>12.6</v>
      </c>
      <c r="G51" s="74">
        <v>12.6</v>
      </c>
      <c r="H51" s="74">
        <v>12.6</v>
      </c>
      <c r="I51" s="74">
        <v>12.6</v>
      </c>
      <c r="J51" s="74">
        <v>12.4</v>
      </c>
      <c r="K51" s="74">
        <v>12.4</v>
      </c>
      <c r="L51" s="74">
        <v>12.6</v>
      </c>
      <c r="M51" s="74">
        <v>12.7</v>
      </c>
      <c r="N51" s="74">
        <v>12.7</v>
      </c>
      <c r="O51" s="74">
        <v>12.7</v>
      </c>
      <c r="P51" s="74">
        <v>12.7</v>
      </c>
      <c r="Q51" s="74">
        <v>12.7</v>
      </c>
      <c r="R51" s="74">
        <v>12.7</v>
      </c>
      <c r="S51" s="74">
        <v>12.7</v>
      </c>
      <c r="T51" s="74">
        <v>12.7</v>
      </c>
      <c r="U51" s="74">
        <v>12.7</v>
      </c>
      <c r="V51" s="74">
        <v>12.7</v>
      </c>
      <c r="W51" s="74">
        <v>12.7</v>
      </c>
      <c r="X51" s="74">
        <v>12.7</v>
      </c>
      <c r="Y51" s="74">
        <v>12.7</v>
      </c>
      <c r="Z51" s="74">
        <v>12.7</v>
      </c>
      <c r="AA51" s="74">
        <v>12.7</v>
      </c>
      <c r="AB51" s="74">
        <v>12.7</v>
      </c>
      <c r="AC51" s="74">
        <v>12.7</v>
      </c>
      <c r="AD51" s="74">
        <v>12.7</v>
      </c>
      <c r="AE51" s="74">
        <v>12.7</v>
      </c>
      <c r="AF51" s="74">
        <v>12.7</v>
      </c>
      <c r="AG51" s="75">
        <v>22.1</v>
      </c>
      <c r="AH51" s="52">
        <f t="shared" si="2"/>
        <v>12.7</v>
      </c>
      <c r="AI51" s="53">
        <f t="shared" si="3"/>
        <v>12.4</v>
      </c>
      <c r="AK51" s="54"/>
    </row>
    <row r="52" spans="1:41" ht="15.75" thickBot="1" x14ac:dyDescent="0.3">
      <c r="A52" s="76" t="s">
        <v>60</v>
      </c>
      <c r="B52" s="67">
        <f>SUM(B49:B51)</f>
        <v>86.7</v>
      </c>
      <c r="C52" s="67">
        <f t="shared" ref="C52:AG52" si="7">SUM(C49:C51)</f>
        <v>56.7</v>
      </c>
      <c r="D52" s="67">
        <f t="shared" si="7"/>
        <v>56.7</v>
      </c>
      <c r="E52" s="67">
        <f t="shared" si="7"/>
        <v>42.7</v>
      </c>
      <c r="F52" s="67">
        <f t="shared" si="7"/>
        <v>72.599999999999994</v>
      </c>
      <c r="G52" s="67">
        <f t="shared" si="7"/>
        <v>57.6</v>
      </c>
      <c r="H52" s="67">
        <f t="shared" si="7"/>
        <v>75.599999999999994</v>
      </c>
      <c r="I52" s="67">
        <f t="shared" si="7"/>
        <v>75.599999999999994</v>
      </c>
      <c r="J52" s="67">
        <f t="shared" si="7"/>
        <v>121.4</v>
      </c>
      <c r="K52" s="67">
        <f t="shared" si="7"/>
        <v>145.4</v>
      </c>
      <c r="L52" s="67">
        <f t="shared" si="7"/>
        <v>125.6</v>
      </c>
      <c r="M52" s="67">
        <f t="shared" si="7"/>
        <v>115.7</v>
      </c>
      <c r="N52" s="67">
        <f t="shared" si="7"/>
        <v>119.7</v>
      </c>
      <c r="O52" s="67">
        <f t="shared" si="7"/>
        <v>119.7</v>
      </c>
      <c r="P52" s="67">
        <f t="shared" si="7"/>
        <v>119.7</v>
      </c>
      <c r="Q52" s="67">
        <f>SUM(Q49:Q51)</f>
        <v>120.7</v>
      </c>
      <c r="R52" s="67">
        <f>SUM(R49:R51)</f>
        <v>120.7</v>
      </c>
      <c r="S52" s="67">
        <f t="shared" si="7"/>
        <v>164.7</v>
      </c>
      <c r="T52" s="67">
        <f t="shared" si="7"/>
        <v>84.7</v>
      </c>
      <c r="U52" s="67">
        <f t="shared" ref="U52" si="8">SUM(U49:U51)</f>
        <v>84.7</v>
      </c>
      <c r="V52" s="67">
        <f t="shared" si="7"/>
        <v>84.7</v>
      </c>
      <c r="W52" s="67">
        <f t="shared" si="7"/>
        <v>84.7</v>
      </c>
      <c r="X52" s="67">
        <f t="shared" si="7"/>
        <v>84.7</v>
      </c>
      <c r="Y52" s="67">
        <f t="shared" si="7"/>
        <v>99.7</v>
      </c>
      <c r="Z52" s="67">
        <f t="shared" si="7"/>
        <v>134.69999999999999</v>
      </c>
      <c r="AA52" s="67">
        <v>294.7</v>
      </c>
      <c r="AB52" s="67">
        <f t="shared" si="7"/>
        <v>264.7</v>
      </c>
      <c r="AC52" s="67">
        <f t="shared" si="7"/>
        <v>264.7</v>
      </c>
      <c r="AD52" s="67">
        <f t="shared" si="7"/>
        <v>184.7</v>
      </c>
      <c r="AE52" s="67">
        <f t="shared" si="7"/>
        <v>194.7</v>
      </c>
      <c r="AF52" s="67">
        <f t="shared" si="7"/>
        <v>244.7</v>
      </c>
      <c r="AG52" s="68">
        <f t="shared" si="7"/>
        <v>538.1</v>
      </c>
      <c r="AH52" s="52">
        <f t="shared" si="2"/>
        <v>294.7</v>
      </c>
      <c r="AI52" s="53">
        <f t="shared" si="3"/>
        <v>42.7</v>
      </c>
      <c r="AK52" s="54"/>
    </row>
    <row r="53" spans="1:41" x14ac:dyDescent="0.25">
      <c r="A53" s="49" t="s">
        <v>61</v>
      </c>
      <c r="B53" s="50">
        <v>47</v>
      </c>
      <c r="C53" s="50">
        <v>30</v>
      </c>
      <c r="D53" s="50">
        <v>30</v>
      </c>
      <c r="E53" s="50">
        <v>30</v>
      </c>
      <c r="F53" s="50">
        <v>49</v>
      </c>
      <c r="G53" s="50">
        <v>48.9</v>
      </c>
      <c r="H53" s="50">
        <v>65</v>
      </c>
      <c r="I53" s="50">
        <v>77</v>
      </c>
      <c r="J53" s="50">
        <v>96</v>
      </c>
      <c r="K53" s="50">
        <v>115</v>
      </c>
      <c r="L53" s="50">
        <v>113.5</v>
      </c>
      <c r="M53" s="50">
        <v>115</v>
      </c>
      <c r="N53" s="50">
        <v>113.9</v>
      </c>
      <c r="O53" s="50">
        <v>121.7</v>
      </c>
      <c r="P53" s="50">
        <v>144.80000000000001</v>
      </c>
      <c r="Q53" s="50">
        <v>136.80000000000001</v>
      </c>
      <c r="R53" s="50">
        <v>136.9</v>
      </c>
      <c r="S53" s="50">
        <v>136.9</v>
      </c>
      <c r="T53" s="50">
        <v>121.2</v>
      </c>
      <c r="U53" s="50">
        <v>112.2</v>
      </c>
      <c r="V53" s="50">
        <v>121.7</v>
      </c>
      <c r="W53" s="50">
        <v>71.5</v>
      </c>
      <c r="X53" s="50">
        <v>61.9</v>
      </c>
      <c r="Y53" s="50">
        <v>61.9</v>
      </c>
      <c r="Z53" s="50">
        <v>112</v>
      </c>
      <c r="AA53" s="50">
        <v>141.19999999999999</v>
      </c>
      <c r="AB53" s="50">
        <v>132</v>
      </c>
      <c r="AC53" s="50">
        <v>132</v>
      </c>
      <c r="AD53" s="50">
        <v>97.5</v>
      </c>
      <c r="AE53" s="50">
        <v>60</v>
      </c>
      <c r="AF53" s="50">
        <v>32</v>
      </c>
      <c r="AG53" s="56">
        <v>144</v>
      </c>
      <c r="AH53" s="52">
        <f t="shared" si="2"/>
        <v>144.80000000000001</v>
      </c>
      <c r="AI53" s="53">
        <f t="shared" si="3"/>
        <v>30</v>
      </c>
      <c r="AK53" s="54"/>
    </row>
    <row r="54" spans="1:41" x14ac:dyDescent="0.25">
      <c r="A54" s="60" t="s">
        <v>62</v>
      </c>
      <c r="B54" s="72">
        <v>25</v>
      </c>
      <c r="C54" s="72">
        <v>25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46</v>
      </c>
      <c r="J54" s="72">
        <v>66.8</v>
      </c>
      <c r="K54" s="72">
        <v>46</v>
      </c>
      <c r="L54" s="72">
        <v>46.6</v>
      </c>
      <c r="M54" s="72">
        <v>45.6</v>
      </c>
      <c r="N54" s="72">
        <v>54.9</v>
      </c>
      <c r="O54" s="72">
        <v>60</v>
      </c>
      <c r="P54" s="72">
        <v>68</v>
      </c>
      <c r="Q54" s="72">
        <v>68</v>
      </c>
      <c r="R54" s="50">
        <v>39</v>
      </c>
      <c r="S54" s="50">
        <v>39</v>
      </c>
      <c r="T54" s="50">
        <v>60.8</v>
      </c>
      <c r="U54" s="50">
        <v>34.6</v>
      </c>
      <c r="V54" s="50">
        <v>33.4</v>
      </c>
      <c r="W54" s="50">
        <v>24.6</v>
      </c>
      <c r="X54" s="50">
        <v>0</v>
      </c>
      <c r="Y54" s="50">
        <v>0</v>
      </c>
      <c r="Z54" s="50">
        <v>60</v>
      </c>
      <c r="AA54" s="50">
        <v>60.3</v>
      </c>
      <c r="AB54" s="72">
        <v>50.2</v>
      </c>
      <c r="AC54" s="72">
        <v>50.2</v>
      </c>
      <c r="AD54" s="72">
        <v>35</v>
      </c>
      <c r="AE54" s="72">
        <v>35</v>
      </c>
      <c r="AF54" s="72">
        <v>26</v>
      </c>
      <c r="AG54" s="61">
        <v>70</v>
      </c>
      <c r="AH54" s="52">
        <f t="shared" si="2"/>
        <v>68</v>
      </c>
      <c r="AI54" s="53">
        <f t="shared" si="3"/>
        <v>0</v>
      </c>
      <c r="AK54" s="54"/>
    </row>
    <row r="55" spans="1:41" x14ac:dyDescent="0.25">
      <c r="A55" s="60" t="s">
        <v>63</v>
      </c>
      <c r="B55" s="72">
        <v>32</v>
      </c>
      <c r="C55" s="72">
        <v>32</v>
      </c>
      <c r="D55" s="72">
        <v>33.4</v>
      </c>
      <c r="E55" s="72">
        <v>33.299999999999997</v>
      </c>
      <c r="F55" s="72">
        <v>46</v>
      </c>
      <c r="G55" s="72">
        <v>32</v>
      </c>
      <c r="H55" s="72">
        <v>46</v>
      </c>
      <c r="I55" s="72">
        <v>47</v>
      </c>
      <c r="J55" s="72">
        <v>47.2</v>
      </c>
      <c r="K55" s="72">
        <v>49</v>
      </c>
      <c r="L55" s="72">
        <v>34.5</v>
      </c>
      <c r="M55" s="72">
        <v>34.5</v>
      </c>
      <c r="N55" s="72">
        <v>46</v>
      </c>
      <c r="O55" s="72">
        <v>15.1</v>
      </c>
      <c r="P55" s="72">
        <v>20.2</v>
      </c>
      <c r="Q55" s="72">
        <v>20.2</v>
      </c>
      <c r="R55" s="50">
        <v>20.399999999999999</v>
      </c>
      <c r="S55" s="50">
        <v>20.399999999999999</v>
      </c>
      <c r="T55" s="50">
        <v>46.1</v>
      </c>
      <c r="U55" s="50">
        <v>47.2</v>
      </c>
      <c r="V55" s="50">
        <v>45.9</v>
      </c>
      <c r="W55" s="50">
        <v>46.1</v>
      </c>
      <c r="X55" s="50">
        <v>55.1</v>
      </c>
      <c r="Y55" s="50">
        <v>68</v>
      </c>
      <c r="Z55" s="50">
        <v>69</v>
      </c>
      <c r="AA55" s="50">
        <v>69.3</v>
      </c>
      <c r="AB55" s="72">
        <v>68.599999999999994</v>
      </c>
      <c r="AC55" s="72">
        <v>68.599999999999994</v>
      </c>
      <c r="AD55" s="72">
        <v>61</v>
      </c>
      <c r="AE55" s="72">
        <v>61</v>
      </c>
      <c r="AF55" s="72">
        <v>61.8</v>
      </c>
      <c r="AG55" s="61">
        <v>69</v>
      </c>
      <c r="AH55" s="52">
        <f t="shared" si="2"/>
        <v>69.3</v>
      </c>
      <c r="AI55" s="53">
        <f t="shared" si="3"/>
        <v>15.1</v>
      </c>
      <c r="AK55" s="54"/>
    </row>
    <row r="56" spans="1:41" x14ac:dyDescent="0.25">
      <c r="A56" s="60" t="s">
        <v>64</v>
      </c>
      <c r="B56" s="72">
        <v>44.3</v>
      </c>
      <c r="C56" s="72">
        <v>44.3</v>
      </c>
      <c r="D56" s="72">
        <v>44.3</v>
      </c>
      <c r="E56" s="63">
        <v>46.1</v>
      </c>
      <c r="F56" s="63">
        <v>46.1</v>
      </c>
      <c r="G56" s="63">
        <v>46.1</v>
      </c>
      <c r="H56" s="63">
        <v>46.1</v>
      </c>
      <c r="I56" s="63">
        <v>46.1</v>
      </c>
      <c r="J56" s="63">
        <v>46.1</v>
      </c>
      <c r="K56" s="63">
        <v>46.2</v>
      </c>
      <c r="L56" s="63">
        <v>45.8</v>
      </c>
      <c r="M56" s="72">
        <v>45</v>
      </c>
      <c r="N56" s="72">
        <v>43.3</v>
      </c>
      <c r="O56" s="72">
        <v>43.6</v>
      </c>
      <c r="P56" s="72">
        <v>43.6</v>
      </c>
      <c r="Q56" s="72">
        <v>43.6</v>
      </c>
      <c r="R56" s="50">
        <v>43.6</v>
      </c>
      <c r="S56" s="50">
        <v>43.6</v>
      </c>
      <c r="T56" s="50">
        <v>41.3</v>
      </c>
      <c r="U56" s="50">
        <v>38.299999999999997</v>
      </c>
      <c r="V56" s="50">
        <v>38.299999999999997</v>
      </c>
      <c r="W56" s="50">
        <v>38.299999999999997</v>
      </c>
      <c r="X56" s="50">
        <v>44.4</v>
      </c>
      <c r="Y56" s="50">
        <v>44.4</v>
      </c>
      <c r="Z56" s="50">
        <v>44.1</v>
      </c>
      <c r="AA56" s="50">
        <v>43.1</v>
      </c>
      <c r="AB56" s="72">
        <v>40.799999999999997</v>
      </c>
      <c r="AC56" s="72">
        <v>40.799999999999997</v>
      </c>
      <c r="AD56" s="72">
        <v>40.799999999999997</v>
      </c>
      <c r="AE56" s="72">
        <v>40.799999999999997</v>
      </c>
      <c r="AF56" s="72">
        <v>40.799999999999997</v>
      </c>
      <c r="AG56" s="61">
        <v>60</v>
      </c>
      <c r="AH56" s="52">
        <f t="shared" si="2"/>
        <v>46.2</v>
      </c>
      <c r="AI56" s="53">
        <f t="shared" si="3"/>
        <v>38.299999999999997</v>
      </c>
      <c r="AK56" s="54"/>
    </row>
    <row r="57" spans="1:41" x14ac:dyDescent="0.25">
      <c r="A57" s="60" t="s">
        <v>65</v>
      </c>
      <c r="B57" s="72">
        <v>9</v>
      </c>
      <c r="C57" s="72">
        <v>0</v>
      </c>
      <c r="D57" s="72">
        <v>0</v>
      </c>
      <c r="E57" s="63">
        <v>0</v>
      </c>
      <c r="F57" s="63">
        <v>0</v>
      </c>
      <c r="G57" s="63">
        <v>15</v>
      </c>
      <c r="H57" s="63">
        <v>15</v>
      </c>
      <c r="I57" s="63">
        <v>15</v>
      </c>
      <c r="J57" s="63">
        <v>15</v>
      </c>
      <c r="K57" s="63">
        <v>15</v>
      </c>
      <c r="L57" s="63">
        <v>15</v>
      </c>
      <c r="M57" s="72">
        <v>15</v>
      </c>
      <c r="N57" s="72">
        <v>13</v>
      </c>
      <c r="O57" s="72">
        <v>15</v>
      </c>
      <c r="P57" s="72">
        <v>15</v>
      </c>
      <c r="Q57" s="72">
        <v>14.9</v>
      </c>
      <c r="R57" s="50">
        <v>14.9</v>
      </c>
      <c r="S57" s="50">
        <v>14.9</v>
      </c>
      <c r="T57" s="50">
        <v>25.3</v>
      </c>
      <c r="U57" s="50">
        <v>25.3</v>
      </c>
      <c r="V57" s="50">
        <v>25.3</v>
      </c>
      <c r="W57" s="50">
        <v>25.3</v>
      </c>
      <c r="X57" s="50">
        <v>25.3</v>
      </c>
      <c r="Y57" s="50">
        <v>25.3</v>
      </c>
      <c r="Z57" s="50">
        <v>9.1999999999999993</v>
      </c>
      <c r="AA57" s="50">
        <v>9.1999999999999993</v>
      </c>
      <c r="AB57" s="72">
        <v>14.8</v>
      </c>
      <c r="AC57" s="72">
        <v>14.8</v>
      </c>
      <c r="AD57" s="72">
        <v>14.8</v>
      </c>
      <c r="AE57" s="72">
        <v>10</v>
      </c>
      <c r="AF57" s="72">
        <v>0</v>
      </c>
      <c r="AG57" s="61">
        <v>30</v>
      </c>
      <c r="AH57" s="52">
        <f t="shared" si="2"/>
        <v>25.3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5</v>
      </c>
      <c r="N58" s="72">
        <v>13.5</v>
      </c>
      <c r="O58" s="72">
        <v>16.8</v>
      </c>
      <c r="P58" s="72">
        <v>16.8</v>
      </c>
      <c r="Q58" s="72">
        <v>18.8</v>
      </c>
      <c r="R58" s="50">
        <v>18</v>
      </c>
      <c r="S58" s="50">
        <v>18</v>
      </c>
      <c r="T58" s="50">
        <v>18</v>
      </c>
      <c r="U58" s="50">
        <v>18</v>
      </c>
      <c r="V58" s="50">
        <v>10</v>
      </c>
      <c r="W58" s="50">
        <v>8</v>
      </c>
      <c r="X58" s="50">
        <v>0</v>
      </c>
      <c r="Y58" s="50">
        <v>0</v>
      </c>
      <c r="Z58" s="50">
        <v>0</v>
      </c>
      <c r="AA58" s="50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1">
        <v>25</v>
      </c>
      <c r="AH58" s="52">
        <f t="shared" si="2"/>
        <v>18.8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15</v>
      </c>
      <c r="C59" s="72">
        <v>12</v>
      </c>
      <c r="D59" s="72">
        <v>12</v>
      </c>
      <c r="E59" s="72">
        <v>12</v>
      </c>
      <c r="F59" s="72">
        <v>12</v>
      </c>
      <c r="G59" s="72">
        <v>12</v>
      </c>
      <c r="H59" s="72">
        <v>12</v>
      </c>
      <c r="I59" s="72">
        <v>12</v>
      </c>
      <c r="J59" s="72">
        <v>12</v>
      </c>
      <c r="K59" s="72">
        <v>12</v>
      </c>
      <c r="L59" s="72">
        <v>12</v>
      </c>
      <c r="M59" s="72">
        <v>12</v>
      </c>
      <c r="N59" s="72">
        <v>14</v>
      </c>
      <c r="O59" s="72">
        <v>15</v>
      </c>
      <c r="P59" s="72">
        <v>15</v>
      </c>
      <c r="Q59" s="72">
        <v>13</v>
      </c>
      <c r="R59" s="72">
        <v>17</v>
      </c>
      <c r="S59" s="72">
        <v>17</v>
      </c>
      <c r="T59" s="72">
        <v>17</v>
      </c>
      <c r="U59" s="72">
        <v>17</v>
      </c>
      <c r="V59" s="72">
        <v>17</v>
      </c>
      <c r="W59" s="72">
        <v>17</v>
      </c>
      <c r="X59" s="72">
        <v>17</v>
      </c>
      <c r="Y59" s="72">
        <v>17</v>
      </c>
      <c r="Z59" s="72">
        <v>17</v>
      </c>
      <c r="AA59" s="72">
        <v>17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17</v>
      </c>
      <c r="AI59" s="53">
        <f t="shared" si="3"/>
        <v>12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11.5</v>
      </c>
      <c r="C61" s="72">
        <v>11.5</v>
      </c>
      <c r="D61" s="72">
        <v>11.5</v>
      </c>
      <c r="E61" s="72">
        <v>12</v>
      </c>
      <c r="F61" s="72">
        <v>12</v>
      </c>
      <c r="G61" s="72">
        <v>8.8000000000000007</v>
      </c>
      <c r="H61" s="72">
        <v>8.8000000000000007</v>
      </c>
      <c r="I61" s="72">
        <v>8.8000000000000007</v>
      </c>
      <c r="J61" s="72">
        <v>8.8000000000000007</v>
      </c>
      <c r="K61" s="72">
        <v>8.8000000000000007</v>
      </c>
      <c r="L61" s="72">
        <v>9.1</v>
      </c>
      <c r="M61" s="72">
        <v>9.1</v>
      </c>
      <c r="N61" s="72">
        <v>9.9</v>
      </c>
      <c r="O61" s="72">
        <v>9.9</v>
      </c>
      <c r="P61" s="72">
        <v>9.9</v>
      </c>
      <c r="Q61" s="72">
        <v>7.7</v>
      </c>
      <c r="R61" s="72">
        <v>13</v>
      </c>
      <c r="S61" s="72">
        <v>13</v>
      </c>
      <c r="T61" s="72">
        <v>13</v>
      </c>
      <c r="U61" s="72">
        <v>13</v>
      </c>
      <c r="V61" s="72">
        <v>13</v>
      </c>
      <c r="W61" s="72">
        <v>13</v>
      </c>
      <c r="X61" s="72">
        <v>13</v>
      </c>
      <c r="Y61" s="72">
        <v>13</v>
      </c>
      <c r="Z61" s="72">
        <v>13</v>
      </c>
      <c r="AA61" s="72">
        <v>13</v>
      </c>
      <c r="AB61" s="72">
        <v>9.9</v>
      </c>
      <c r="AC61" s="72">
        <v>9.9</v>
      </c>
      <c r="AD61" s="72">
        <v>9.9</v>
      </c>
      <c r="AE61" s="72">
        <v>9.9</v>
      </c>
      <c r="AF61" s="72">
        <v>9.9</v>
      </c>
      <c r="AG61" s="61">
        <v>14.1</v>
      </c>
      <c r="AH61" s="52">
        <f t="shared" si="2"/>
        <v>13</v>
      </c>
      <c r="AI61" s="53">
        <f t="shared" si="3"/>
        <v>7.7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6</v>
      </c>
      <c r="C62" s="72">
        <v>6</v>
      </c>
      <c r="D62" s="72">
        <v>6</v>
      </c>
      <c r="E62" s="72">
        <v>6</v>
      </c>
      <c r="F62" s="72">
        <v>6</v>
      </c>
      <c r="G62" s="72">
        <v>6</v>
      </c>
      <c r="H62" s="72">
        <v>6</v>
      </c>
      <c r="I62" s="72">
        <v>6</v>
      </c>
      <c r="J62" s="72">
        <v>6</v>
      </c>
      <c r="K62" s="72">
        <v>6</v>
      </c>
      <c r="L62" s="72">
        <v>6.5</v>
      </c>
      <c r="M62" s="72">
        <v>6.5</v>
      </c>
      <c r="N62" s="72">
        <v>6.5</v>
      </c>
      <c r="O62" s="72">
        <v>6.6</v>
      </c>
      <c r="P62" s="72">
        <v>6.6</v>
      </c>
      <c r="Q62" s="72">
        <v>6.5</v>
      </c>
      <c r="R62" s="72">
        <v>6.6</v>
      </c>
      <c r="S62" s="72">
        <v>6.6</v>
      </c>
      <c r="T62" s="72">
        <v>6.6</v>
      </c>
      <c r="U62" s="72">
        <v>6.6</v>
      </c>
      <c r="V62" s="72">
        <v>6.6</v>
      </c>
      <c r="W62" s="72">
        <v>6.6</v>
      </c>
      <c r="X62" s="72">
        <v>6.6</v>
      </c>
      <c r="Y62" s="72">
        <v>6.6</v>
      </c>
      <c r="Z62" s="72">
        <v>6.6</v>
      </c>
      <c r="AA62" s="72">
        <v>6.6</v>
      </c>
      <c r="AB62" s="72">
        <v>6.6</v>
      </c>
      <c r="AC62" s="72">
        <v>6.6</v>
      </c>
      <c r="AD62" s="72">
        <v>6.6</v>
      </c>
      <c r="AE62" s="72">
        <v>6.6</v>
      </c>
      <c r="AF62" s="72">
        <v>6.6</v>
      </c>
      <c r="AG62" s="61">
        <v>14</v>
      </c>
      <c r="AH62" s="52">
        <f t="shared" si="2"/>
        <v>6.6</v>
      </c>
      <c r="AI62" s="53">
        <f t="shared" si="3"/>
        <v>6</v>
      </c>
      <c r="AK62" s="54"/>
    </row>
    <row r="63" spans="1:41" x14ac:dyDescent="0.25">
      <c r="A63" s="60" t="s">
        <v>71</v>
      </c>
      <c r="B63" s="72">
        <v>4.0999999999999996</v>
      </c>
      <c r="C63" s="72">
        <v>4.0999999999999996</v>
      </c>
      <c r="D63" s="72">
        <v>4.0999999999999996</v>
      </c>
      <c r="E63" s="72">
        <v>4.0999999999999996</v>
      </c>
      <c r="F63" s="72">
        <v>4.0999999999999996</v>
      </c>
      <c r="G63" s="72">
        <v>4.0999999999999996</v>
      </c>
      <c r="H63" s="72">
        <v>4.0999999999999996</v>
      </c>
      <c r="I63" s="72">
        <v>4.0999999999999996</v>
      </c>
      <c r="J63" s="72">
        <v>4.0999999999999996</v>
      </c>
      <c r="K63" s="72">
        <v>4.0999999999999996</v>
      </c>
      <c r="L63" s="72">
        <v>4.0999999999999996</v>
      </c>
      <c r="M63" s="72">
        <v>4.0999999999999996</v>
      </c>
      <c r="N63" s="72">
        <v>4.4000000000000004</v>
      </c>
      <c r="O63" s="72">
        <v>4.5</v>
      </c>
      <c r="P63" s="72">
        <v>4.5</v>
      </c>
      <c r="Q63" s="72">
        <v>4.5</v>
      </c>
      <c r="R63" s="72">
        <v>4.5999999999999996</v>
      </c>
      <c r="S63" s="72">
        <v>4.5999999999999996</v>
      </c>
      <c r="T63" s="72">
        <v>4.5999999999999996</v>
      </c>
      <c r="U63" s="72">
        <v>4.5999999999999996</v>
      </c>
      <c r="V63" s="72">
        <v>4.5999999999999996</v>
      </c>
      <c r="W63" s="72">
        <v>4.5999999999999996</v>
      </c>
      <c r="X63" s="72">
        <v>4.5999999999999996</v>
      </c>
      <c r="Y63" s="72">
        <v>4.5999999999999996</v>
      </c>
      <c r="Z63" s="72">
        <v>4.5999999999999996</v>
      </c>
      <c r="AA63" s="72">
        <v>4.5999999999999996</v>
      </c>
      <c r="AB63" s="72">
        <v>4.62</v>
      </c>
      <c r="AC63" s="72">
        <v>4.62</v>
      </c>
      <c r="AD63" s="72">
        <v>4.62</v>
      </c>
      <c r="AE63" s="72">
        <v>4.62</v>
      </c>
      <c r="AF63" s="72">
        <v>4.62</v>
      </c>
      <c r="AG63" s="61">
        <v>10.050000000000001</v>
      </c>
      <c r="AH63" s="52">
        <f t="shared" si="2"/>
        <v>4.62</v>
      </c>
      <c r="AI63" s="53">
        <f t="shared" si="3"/>
        <v>4.0999999999999996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>SUM(B53:B64)</f>
        <v>195.9</v>
      </c>
      <c r="C66" s="67">
        <f t="shared" ref="C66:AG66" si="9">SUM(C53:C65)</f>
        <v>170.44</v>
      </c>
      <c r="D66" s="67">
        <f t="shared" si="9"/>
        <v>146.83999999999997</v>
      </c>
      <c r="E66" s="67">
        <f t="shared" si="9"/>
        <v>149.04</v>
      </c>
      <c r="F66" s="67">
        <f t="shared" si="9"/>
        <v>180.73999999999998</v>
      </c>
      <c r="G66" s="67">
        <f t="shared" si="9"/>
        <v>178.44</v>
      </c>
      <c r="H66" s="67">
        <f t="shared" si="9"/>
        <v>208.54</v>
      </c>
      <c r="I66" s="67">
        <f t="shared" si="9"/>
        <v>267.54000000000002</v>
      </c>
      <c r="J66" s="67">
        <f t="shared" si="9"/>
        <v>307.54000000000008</v>
      </c>
      <c r="K66" s="67">
        <f t="shared" si="9"/>
        <v>307.64000000000004</v>
      </c>
      <c r="L66" s="67">
        <f t="shared" si="9"/>
        <v>292.64000000000004</v>
      </c>
      <c r="M66" s="67">
        <f t="shared" si="9"/>
        <v>297.34000000000009</v>
      </c>
      <c r="N66" s="67">
        <f t="shared" si="9"/>
        <v>324.94</v>
      </c>
      <c r="O66" s="67">
        <f t="shared" si="9"/>
        <v>313.74</v>
      </c>
      <c r="P66" s="67">
        <f t="shared" si="9"/>
        <v>349.94000000000005</v>
      </c>
      <c r="Q66" s="67">
        <f t="shared" si="9"/>
        <v>339.54</v>
      </c>
      <c r="R66" s="67">
        <f t="shared" si="9"/>
        <v>319.54000000000008</v>
      </c>
      <c r="S66" s="67">
        <f t="shared" si="9"/>
        <v>319.54000000000008</v>
      </c>
      <c r="T66" s="67">
        <f t="shared" si="9"/>
        <v>359.44000000000005</v>
      </c>
      <c r="U66" s="67">
        <f t="shared" si="9"/>
        <v>322.34000000000009</v>
      </c>
      <c r="V66" s="67">
        <f t="shared" si="9"/>
        <v>321.34000000000009</v>
      </c>
      <c r="W66" s="67">
        <f t="shared" si="9"/>
        <v>260.54000000000002</v>
      </c>
      <c r="X66" s="67">
        <f t="shared" si="9"/>
        <v>233.44</v>
      </c>
      <c r="Y66" s="67">
        <f t="shared" si="9"/>
        <v>246.34</v>
      </c>
      <c r="Z66" s="67">
        <f t="shared" si="9"/>
        <v>341.04000000000008</v>
      </c>
      <c r="AA66" s="67">
        <v>369.84000000000009</v>
      </c>
      <c r="AB66" s="67">
        <f t="shared" si="9"/>
        <v>348.06</v>
      </c>
      <c r="AC66" s="67">
        <f t="shared" si="9"/>
        <v>348.06</v>
      </c>
      <c r="AD66" s="67">
        <f t="shared" si="9"/>
        <v>290.76000000000005</v>
      </c>
      <c r="AE66" s="67">
        <f t="shared" si="9"/>
        <v>248.46</v>
      </c>
      <c r="AF66" s="67">
        <f t="shared" si="9"/>
        <v>202.26</v>
      </c>
      <c r="AG66" s="68">
        <f t="shared" si="9"/>
        <v>489.91</v>
      </c>
      <c r="AH66" s="52">
        <f t="shared" si="2"/>
        <v>369.84000000000009</v>
      </c>
      <c r="AI66" s="53">
        <f t="shared" si="3"/>
        <v>146.83999999999997</v>
      </c>
      <c r="AK66" s="54"/>
    </row>
    <row r="67" spans="1:40" x14ac:dyDescent="0.25">
      <c r="A67" s="49" t="s">
        <v>75</v>
      </c>
      <c r="B67" s="50">
        <v>30</v>
      </c>
      <c r="C67" s="50">
        <v>30</v>
      </c>
      <c r="D67" s="50">
        <v>30</v>
      </c>
      <c r="E67" s="50">
        <v>30</v>
      </c>
      <c r="F67" s="50">
        <v>14</v>
      </c>
      <c r="G67" s="50">
        <v>20</v>
      </c>
      <c r="H67" s="50">
        <v>14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30</v>
      </c>
      <c r="R67" s="50">
        <v>14</v>
      </c>
      <c r="S67" s="50">
        <v>30</v>
      </c>
      <c r="T67" s="50">
        <v>30</v>
      </c>
      <c r="U67" s="50">
        <v>60</v>
      </c>
      <c r="V67" s="50">
        <v>60</v>
      </c>
      <c r="W67" s="50">
        <v>30</v>
      </c>
      <c r="X67" s="50">
        <v>14</v>
      </c>
      <c r="Y67" s="50">
        <v>30</v>
      </c>
      <c r="Z67" s="50">
        <v>30</v>
      </c>
      <c r="AA67" s="50">
        <v>30</v>
      </c>
      <c r="AB67" s="50">
        <v>30</v>
      </c>
      <c r="AC67" s="50">
        <v>30</v>
      </c>
      <c r="AD67" s="50">
        <v>14</v>
      </c>
      <c r="AE67" s="50">
        <v>14</v>
      </c>
      <c r="AF67" s="50">
        <v>30</v>
      </c>
      <c r="AG67" s="56">
        <v>60</v>
      </c>
      <c r="AH67" s="52">
        <f t="shared" si="2"/>
        <v>60</v>
      </c>
      <c r="AI67" s="53">
        <f t="shared" si="3"/>
        <v>0</v>
      </c>
      <c r="AK67" s="54"/>
    </row>
    <row r="68" spans="1:40" x14ac:dyDescent="0.25">
      <c r="A68" s="60" t="s">
        <v>76</v>
      </c>
      <c r="B68" s="72">
        <v>15.1</v>
      </c>
      <c r="C68" s="72">
        <v>15.1</v>
      </c>
      <c r="D68" s="72">
        <v>15.1</v>
      </c>
      <c r="E68" s="72">
        <v>13.8</v>
      </c>
      <c r="F68" s="72">
        <v>8.4</v>
      </c>
      <c r="G68" s="72">
        <v>8.3000000000000007</v>
      </c>
      <c r="H68" s="72">
        <v>6</v>
      </c>
      <c r="I68" s="72">
        <v>8.3000000000000007</v>
      </c>
      <c r="J68" s="72">
        <v>0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50">
        <v>16</v>
      </c>
      <c r="R68" s="50">
        <v>5.4</v>
      </c>
      <c r="S68" s="72">
        <v>13.6</v>
      </c>
      <c r="T68" s="72">
        <v>13.4</v>
      </c>
      <c r="U68" s="72">
        <v>27.4</v>
      </c>
      <c r="V68" s="72">
        <v>29.3</v>
      </c>
      <c r="W68" s="72">
        <v>14.3</v>
      </c>
      <c r="X68" s="72">
        <v>8.5</v>
      </c>
      <c r="Y68" s="72">
        <v>14.4</v>
      </c>
      <c r="Z68" s="72">
        <v>13.8</v>
      </c>
      <c r="AA68" s="72">
        <v>13.8</v>
      </c>
      <c r="AB68" s="72">
        <v>13.8</v>
      </c>
      <c r="AC68" s="72">
        <v>13.8</v>
      </c>
      <c r="AD68" s="72">
        <v>9.5</v>
      </c>
      <c r="AE68" s="72">
        <v>9.5</v>
      </c>
      <c r="AF68" s="72">
        <v>14</v>
      </c>
      <c r="AG68" s="61">
        <v>32</v>
      </c>
      <c r="AH68" s="52">
        <f t="shared" si="2"/>
        <v>29.3</v>
      </c>
      <c r="AI68" s="53">
        <f t="shared" si="3"/>
        <v>0</v>
      </c>
      <c r="AK68" s="54"/>
    </row>
    <row r="69" spans="1:40" ht="15.75" thickBot="1" x14ac:dyDescent="0.3">
      <c r="A69" s="78" t="s">
        <v>77</v>
      </c>
      <c r="B69" s="74">
        <v>5.5</v>
      </c>
      <c r="C69" s="74">
        <v>5.5</v>
      </c>
      <c r="D69" s="74">
        <v>5.5</v>
      </c>
      <c r="E69" s="74">
        <v>5</v>
      </c>
      <c r="F69" s="74">
        <v>3.1</v>
      </c>
      <c r="G69" s="74">
        <v>3</v>
      </c>
      <c r="H69" s="74">
        <v>3</v>
      </c>
      <c r="I69" s="74">
        <v>3</v>
      </c>
      <c r="J69" s="74">
        <v>0</v>
      </c>
      <c r="K69" s="74">
        <v>0</v>
      </c>
      <c r="L69" s="74">
        <v>0</v>
      </c>
      <c r="M69" s="74">
        <v>0</v>
      </c>
      <c r="N69" s="74">
        <v>0</v>
      </c>
      <c r="O69" s="74">
        <v>0</v>
      </c>
      <c r="P69" s="74">
        <v>0</v>
      </c>
      <c r="Q69" s="50">
        <v>5.8</v>
      </c>
      <c r="R69" s="50">
        <v>2</v>
      </c>
      <c r="S69" s="74">
        <v>5</v>
      </c>
      <c r="T69" s="74">
        <v>4.9000000000000004</v>
      </c>
      <c r="U69" s="74">
        <v>10</v>
      </c>
      <c r="V69" s="74">
        <v>10.7</v>
      </c>
      <c r="W69" s="74">
        <v>5.2</v>
      </c>
      <c r="X69" s="74">
        <v>3.1</v>
      </c>
      <c r="Y69" s="74">
        <v>5.2</v>
      </c>
      <c r="Z69" s="74">
        <v>5</v>
      </c>
      <c r="AA69" s="74">
        <v>5</v>
      </c>
      <c r="AB69" s="74">
        <v>5</v>
      </c>
      <c r="AC69" s="74">
        <v>5</v>
      </c>
      <c r="AD69" s="74">
        <v>5</v>
      </c>
      <c r="AE69" s="74">
        <v>5</v>
      </c>
      <c r="AF69" s="74">
        <v>5</v>
      </c>
      <c r="AG69" s="75">
        <v>14</v>
      </c>
      <c r="AH69" s="52">
        <f t="shared" si="2"/>
        <v>10.7</v>
      </c>
      <c r="AI69" s="53">
        <f t="shared" si="3"/>
        <v>0</v>
      </c>
      <c r="AK69" s="54"/>
    </row>
    <row r="70" spans="1:40" ht="15.75" thickBot="1" x14ac:dyDescent="0.3">
      <c r="A70" s="81" t="s">
        <v>78</v>
      </c>
      <c r="B70" s="67">
        <v>50.6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0</v>
      </c>
      <c r="M70" s="67">
        <f t="shared" ref="M70:AF70" si="10">M67+M68+M69</f>
        <v>0</v>
      </c>
      <c r="N70" s="67">
        <f t="shared" si="10"/>
        <v>0</v>
      </c>
      <c r="O70" s="67">
        <f t="shared" si="10"/>
        <v>0</v>
      </c>
      <c r="P70" s="67">
        <f t="shared" si="10"/>
        <v>0</v>
      </c>
      <c r="Q70" s="67">
        <f t="shared" si="10"/>
        <v>51.8</v>
      </c>
      <c r="R70" s="67">
        <f t="shared" si="10"/>
        <v>21.4</v>
      </c>
      <c r="S70" s="67">
        <f t="shared" si="10"/>
        <v>48.6</v>
      </c>
      <c r="T70" s="67">
        <f t="shared" si="10"/>
        <v>48.3</v>
      </c>
      <c r="U70" s="67">
        <f t="shared" si="10"/>
        <v>97.4</v>
      </c>
      <c r="V70" s="67">
        <f t="shared" si="10"/>
        <v>100</v>
      </c>
      <c r="W70" s="67">
        <f t="shared" si="10"/>
        <v>49.5</v>
      </c>
      <c r="X70" s="67">
        <f t="shared" si="10"/>
        <v>25.6</v>
      </c>
      <c r="Y70" s="67">
        <f t="shared" si="10"/>
        <v>49.6</v>
      </c>
      <c r="Z70" s="67">
        <f t="shared" si="10"/>
        <v>48.8</v>
      </c>
      <c r="AA70" s="67">
        <v>48.8</v>
      </c>
      <c r="AB70" s="67">
        <f t="shared" si="10"/>
        <v>48.8</v>
      </c>
      <c r="AC70" s="67">
        <f t="shared" si="10"/>
        <v>48.8</v>
      </c>
      <c r="AD70" s="67">
        <f t="shared" si="10"/>
        <v>28.5</v>
      </c>
      <c r="AE70" s="67">
        <f t="shared" si="10"/>
        <v>28.5</v>
      </c>
      <c r="AF70" s="67">
        <f t="shared" si="10"/>
        <v>49</v>
      </c>
      <c r="AG70" s="68">
        <f>SUM(AG67:AG69)</f>
        <v>106</v>
      </c>
      <c r="AH70" s="52">
        <f t="shared" si="2"/>
        <v>100</v>
      </c>
      <c r="AI70" s="53">
        <f t="shared" si="3"/>
        <v>0</v>
      </c>
      <c r="AK70" s="54"/>
    </row>
    <row r="71" spans="1:40" x14ac:dyDescent="0.25">
      <c r="A71" s="49" t="s">
        <v>79</v>
      </c>
      <c r="B71" s="50">
        <v>68.5</v>
      </c>
      <c r="C71" s="50">
        <v>70.8</v>
      </c>
      <c r="D71" s="50">
        <v>56</v>
      </c>
      <c r="E71" s="50">
        <v>66.5</v>
      </c>
      <c r="F71" s="50">
        <v>54</v>
      </c>
      <c r="G71" s="50">
        <v>58</v>
      </c>
      <c r="H71" s="50">
        <v>56.2</v>
      </c>
      <c r="I71" s="50">
        <v>50.7</v>
      </c>
      <c r="J71" s="50">
        <v>51</v>
      </c>
      <c r="K71" s="50">
        <v>56.4</v>
      </c>
      <c r="L71" s="50">
        <v>49.6</v>
      </c>
      <c r="M71" s="50">
        <v>52</v>
      </c>
      <c r="N71" s="50">
        <v>43</v>
      </c>
      <c r="O71" s="50">
        <v>48.5</v>
      </c>
      <c r="P71" s="50">
        <v>48.5</v>
      </c>
      <c r="Q71" s="50">
        <v>67.2</v>
      </c>
      <c r="R71" s="50">
        <v>70.900000000000006</v>
      </c>
      <c r="S71" s="50">
        <v>64.900000000000006</v>
      </c>
      <c r="T71" s="50">
        <v>65.2</v>
      </c>
      <c r="U71" s="50">
        <v>71.7</v>
      </c>
      <c r="V71" s="50">
        <v>65</v>
      </c>
      <c r="W71" s="50">
        <v>64.2</v>
      </c>
      <c r="X71" s="50">
        <v>68</v>
      </c>
      <c r="Y71" s="50">
        <v>65</v>
      </c>
      <c r="Z71" s="50">
        <v>65.2</v>
      </c>
      <c r="AA71" s="50">
        <v>65</v>
      </c>
      <c r="AB71" s="50">
        <v>72</v>
      </c>
      <c r="AC71" s="50">
        <v>72</v>
      </c>
      <c r="AD71" s="50">
        <v>68</v>
      </c>
      <c r="AE71" s="50">
        <v>63.4</v>
      </c>
      <c r="AF71" s="50">
        <v>71</v>
      </c>
      <c r="AG71" s="56"/>
      <c r="AH71" s="52">
        <f t="shared" si="2"/>
        <v>72</v>
      </c>
      <c r="AI71" s="53">
        <f t="shared" si="3"/>
        <v>43</v>
      </c>
      <c r="AK71" s="54"/>
    </row>
    <row r="72" spans="1:40" x14ac:dyDescent="0.25">
      <c r="A72" s="60" t="s">
        <v>80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412</v>
      </c>
      <c r="C73" s="72">
        <v>436</v>
      </c>
      <c r="D73" s="72">
        <v>443</v>
      </c>
      <c r="E73" s="72">
        <v>420</v>
      </c>
      <c r="F73" s="72">
        <v>390</v>
      </c>
      <c r="G73" s="72">
        <v>430</v>
      </c>
      <c r="H73" s="72">
        <v>390</v>
      </c>
      <c r="I73" s="72">
        <v>390</v>
      </c>
      <c r="J73" s="72">
        <v>403</v>
      </c>
      <c r="K73" s="72">
        <v>390</v>
      </c>
      <c r="L73" s="72">
        <v>396</v>
      </c>
      <c r="M73" s="72">
        <v>376</v>
      </c>
      <c r="N73" s="72">
        <v>396.3</v>
      </c>
      <c r="O73" s="72">
        <v>422</v>
      </c>
      <c r="P73" s="72">
        <v>422</v>
      </c>
      <c r="Q73" s="72">
        <v>451</v>
      </c>
      <c r="R73" s="72">
        <v>430.6</v>
      </c>
      <c r="S73" s="72">
        <v>430</v>
      </c>
      <c r="T73" s="72">
        <v>431</v>
      </c>
      <c r="U73" s="72">
        <v>436</v>
      </c>
      <c r="V73" s="72">
        <v>430</v>
      </c>
      <c r="W73" s="72">
        <v>412.8</v>
      </c>
      <c r="X73" s="72">
        <v>440</v>
      </c>
      <c r="Y73" s="72">
        <v>434</v>
      </c>
      <c r="Z73" s="72">
        <v>430</v>
      </c>
      <c r="AA73" s="72">
        <v>290</v>
      </c>
      <c r="AB73" s="72">
        <v>283</v>
      </c>
      <c r="AC73" s="72">
        <v>283</v>
      </c>
      <c r="AD73" s="72">
        <v>400</v>
      </c>
      <c r="AE73" s="72">
        <v>361</v>
      </c>
      <c r="AF73" s="72">
        <v>337</v>
      </c>
      <c r="AG73" s="82"/>
      <c r="AH73" s="52">
        <f t="shared" si="2"/>
        <v>451</v>
      </c>
      <c r="AI73" s="53">
        <f t="shared" si="3"/>
        <v>283</v>
      </c>
      <c r="AK73" s="54"/>
    </row>
    <row r="74" spans="1:40" x14ac:dyDescent="0.25">
      <c r="A74" s="60" t="s">
        <v>82</v>
      </c>
      <c r="B74" s="72">
        <v>59.7</v>
      </c>
      <c r="C74" s="72">
        <v>60.4</v>
      </c>
      <c r="D74" s="72">
        <v>60.7</v>
      </c>
      <c r="E74" s="83">
        <v>59.4</v>
      </c>
      <c r="F74" s="83">
        <v>52</v>
      </c>
      <c r="G74" s="83">
        <v>54.5</v>
      </c>
      <c r="H74" s="83">
        <v>55</v>
      </c>
      <c r="I74" s="83">
        <v>53.1</v>
      </c>
      <c r="J74" s="83">
        <v>52.9</v>
      </c>
      <c r="K74" s="83">
        <v>52</v>
      </c>
      <c r="L74" s="83">
        <v>55</v>
      </c>
      <c r="M74" s="83">
        <v>0</v>
      </c>
      <c r="N74" s="83">
        <v>0</v>
      </c>
      <c r="O74" s="83">
        <v>50.1</v>
      </c>
      <c r="P74" s="83">
        <v>50.1</v>
      </c>
      <c r="Q74" s="83">
        <v>61.8</v>
      </c>
      <c r="R74" s="83">
        <v>59.6</v>
      </c>
      <c r="S74" s="83">
        <v>58.1</v>
      </c>
      <c r="T74" s="83">
        <v>59.3</v>
      </c>
      <c r="U74" s="83">
        <v>59.3</v>
      </c>
      <c r="V74" s="83">
        <v>49.3</v>
      </c>
      <c r="W74" s="83">
        <v>49.3</v>
      </c>
      <c r="X74" s="83">
        <v>52.2</v>
      </c>
      <c r="Y74" s="72">
        <v>56.8</v>
      </c>
      <c r="Z74" s="72">
        <v>56.8</v>
      </c>
      <c r="AA74" s="72">
        <v>56.1</v>
      </c>
      <c r="AB74" s="72">
        <v>54.1</v>
      </c>
      <c r="AC74" s="72">
        <v>54.1</v>
      </c>
      <c r="AD74" s="72">
        <v>54.4</v>
      </c>
      <c r="AE74" s="72">
        <v>55</v>
      </c>
      <c r="AF74" s="72">
        <v>53.4</v>
      </c>
      <c r="AG74" s="82"/>
      <c r="AH74" s="52">
        <f t="shared" si="2"/>
        <v>61.8</v>
      </c>
      <c r="AI74" s="53">
        <f t="shared" si="3"/>
        <v>0</v>
      </c>
      <c r="AK74" s="54"/>
    </row>
    <row r="75" spans="1:40" x14ac:dyDescent="0.25">
      <c r="A75" s="60" t="s">
        <v>83</v>
      </c>
      <c r="B75" s="50">
        <v>29.8</v>
      </c>
      <c r="C75" s="50">
        <v>27.8</v>
      </c>
      <c r="D75" s="50">
        <v>27.3</v>
      </c>
      <c r="E75" s="50">
        <v>27.3</v>
      </c>
      <c r="F75" s="50">
        <v>27.2</v>
      </c>
      <c r="G75" s="50">
        <v>26.8</v>
      </c>
      <c r="H75" s="50">
        <v>23.1</v>
      </c>
      <c r="I75" s="50">
        <v>22.7</v>
      </c>
      <c r="J75" s="50">
        <v>25.7</v>
      </c>
      <c r="K75" s="50">
        <v>28.1</v>
      </c>
      <c r="L75" s="50">
        <v>20.2</v>
      </c>
      <c r="M75" s="50">
        <v>27.2</v>
      </c>
      <c r="N75" s="50">
        <v>28</v>
      </c>
      <c r="O75" s="50">
        <v>31</v>
      </c>
      <c r="P75" s="50">
        <v>31</v>
      </c>
      <c r="Q75" s="50">
        <v>39.1</v>
      </c>
      <c r="R75" s="50">
        <v>30.9</v>
      </c>
      <c r="S75" s="50">
        <v>35</v>
      </c>
      <c r="T75" s="50">
        <v>31.8</v>
      </c>
      <c r="U75" s="50">
        <v>31.8</v>
      </c>
      <c r="V75" s="50">
        <v>28.7</v>
      </c>
      <c r="W75" s="50">
        <v>28.7</v>
      </c>
      <c r="X75" s="50">
        <v>26.1</v>
      </c>
      <c r="Y75" s="50">
        <v>26.4</v>
      </c>
      <c r="Z75" s="50">
        <v>26.4</v>
      </c>
      <c r="AA75" s="50">
        <v>26.4</v>
      </c>
      <c r="AB75" s="50">
        <v>21.1</v>
      </c>
      <c r="AC75" s="50">
        <v>21.1</v>
      </c>
      <c r="AD75" s="50">
        <v>23</v>
      </c>
      <c r="AE75" s="50">
        <v>24.3</v>
      </c>
      <c r="AF75" s="50">
        <v>26.1</v>
      </c>
      <c r="AG75" s="82"/>
      <c r="AH75" s="52">
        <f t="shared" ref="AH75:AH117" si="11">MAX(B75:AF75)</f>
        <v>39.1</v>
      </c>
      <c r="AI75" s="53">
        <f t="shared" ref="AI75:AI117" si="12">MIN(B75:AF75)</f>
        <v>20.2</v>
      </c>
      <c r="AK75" s="54"/>
    </row>
    <row r="76" spans="1:40" x14ac:dyDescent="0.25">
      <c r="A76" s="60" t="s">
        <v>84</v>
      </c>
      <c r="B76" s="84">
        <v>8</v>
      </c>
      <c r="C76" s="84">
        <v>8</v>
      </c>
      <c r="D76" s="84">
        <v>8</v>
      </c>
      <c r="E76" s="84">
        <v>8</v>
      </c>
      <c r="F76" s="84">
        <v>8</v>
      </c>
      <c r="G76" s="84">
        <v>8</v>
      </c>
      <c r="H76" s="84">
        <v>8</v>
      </c>
      <c r="I76" s="84">
        <v>8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8</v>
      </c>
      <c r="W76" s="84">
        <v>8</v>
      </c>
      <c r="X76" s="84">
        <v>8</v>
      </c>
      <c r="Y76" s="84">
        <v>8</v>
      </c>
      <c r="Z76" s="84">
        <v>8</v>
      </c>
      <c r="AA76" s="84">
        <v>8</v>
      </c>
      <c r="AB76" s="84">
        <v>8</v>
      </c>
      <c r="AC76" s="84">
        <v>8</v>
      </c>
      <c r="AD76" s="84">
        <v>8</v>
      </c>
      <c r="AE76" s="84">
        <v>8</v>
      </c>
      <c r="AF76" s="84">
        <v>8</v>
      </c>
      <c r="AG76" s="82"/>
      <c r="AH76" s="52">
        <f t="shared" si="11"/>
        <v>8</v>
      </c>
      <c r="AI76" s="53">
        <f t="shared" si="12"/>
        <v>0</v>
      </c>
      <c r="AK76" s="54"/>
    </row>
    <row r="77" spans="1:40" ht="15.75" thickBot="1" x14ac:dyDescent="0.3">
      <c r="A77" s="60" t="s">
        <v>85</v>
      </c>
      <c r="B77" s="84">
        <v>5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5</v>
      </c>
      <c r="W77" s="84">
        <v>5</v>
      </c>
      <c r="X77" s="84">
        <v>5</v>
      </c>
      <c r="Y77" s="84">
        <v>5</v>
      </c>
      <c r="Z77" s="84">
        <v>5</v>
      </c>
      <c r="AA77" s="84">
        <v>5</v>
      </c>
      <c r="AB77" s="84">
        <v>5</v>
      </c>
      <c r="AC77" s="84">
        <v>5</v>
      </c>
      <c r="AD77" s="84">
        <v>5</v>
      </c>
      <c r="AE77" s="84">
        <v>5</v>
      </c>
      <c r="AF77" s="84">
        <v>5</v>
      </c>
      <c r="AG77" s="82"/>
      <c r="AH77" s="52">
        <f t="shared" si="11"/>
        <v>5</v>
      </c>
      <c r="AI77" s="53">
        <f t="shared" si="12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1"/>
        <v>0</v>
      </c>
      <c r="AI78" s="53">
        <f t="shared" si="12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10</v>
      </c>
      <c r="W79" s="84">
        <v>10</v>
      </c>
      <c r="X79" s="84">
        <v>10</v>
      </c>
      <c r="Y79" s="84">
        <v>10</v>
      </c>
      <c r="Z79" s="84">
        <v>10</v>
      </c>
      <c r="AA79" s="84">
        <v>10</v>
      </c>
      <c r="AB79" s="84">
        <v>10</v>
      </c>
      <c r="AC79" s="84">
        <v>10</v>
      </c>
      <c r="AD79" s="84">
        <v>10</v>
      </c>
      <c r="AE79" s="84">
        <v>10</v>
      </c>
      <c r="AF79" s="84">
        <v>10</v>
      </c>
      <c r="AG79" s="82"/>
      <c r="AH79" s="52">
        <f t="shared" si="11"/>
        <v>10</v>
      </c>
      <c r="AI79" s="53">
        <f t="shared" si="12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1"/>
        <v>0</v>
      </c>
      <c r="AI80" s="53">
        <f t="shared" si="12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1"/>
        <v>0</v>
      </c>
      <c r="AI81" s="53">
        <f t="shared" si="12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>SUM(B71:B81)</f>
        <v>583</v>
      </c>
      <c r="C82" s="67">
        <f t="shared" ref="C82:AF82" si="13">SUMIF(C71:C81,"&gt;0")</f>
        <v>603</v>
      </c>
      <c r="D82" s="67">
        <f t="shared" si="13"/>
        <v>595</v>
      </c>
      <c r="E82" s="67">
        <f t="shared" si="13"/>
        <v>581.19999999999993</v>
      </c>
      <c r="F82" s="67">
        <f t="shared" si="13"/>
        <v>531.20000000000005</v>
      </c>
      <c r="G82" s="67">
        <f t="shared" si="13"/>
        <v>577.29999999999995</v>
      </c>
      <c r="H82" s="67">
        <f t="shared" si="13"/>
        <v>532.29999999999995</v>
      </c>
      <c r="I82" s="67">
        <f t="shared" si="13"/>
        <v>524.5</v>
      </c>
      <c r="J82" s="67">
        <f t="shared" si="13"/>
        <v>532.6</v>
      </c>
      <c r="K82" s="67">
        <f t="shared" si="13"/>
        <v>526.5</v>
      </c>
      <c r="L82" s="67">
        <f t="shared" si="13"/>
        <v>520.80000000000007</v>
      </c>
      <c r="M82" s="67">
        <f t="shared" si="13"/>
        <v>455.2</v>
      </c>
      <c r="N82" s="67">
        <f t="shared" si="13"/>
        <v>467.3</v>
      </c>
      <c r="O82" s="67">
        <f t="shared" si="13"/>
        <v>551.6</v>
      </c>
      <c r="P82" s="67">
        <f t="shared" si="13"/>
        <v>551.6</v>
      </c>
      <c r="Q82" s="67">
        <f t="shared" si="13"/>
        <v>619.1</v>
      </c>
      <c r="R82" s="67">
        <f t="shared" si="13"/>
        <v>592</v>
      </c>
      <c r="S82" s="67">
        <f t="shared" si="13"/>
        <v>588</v>
      </c>
      <c r="T82" s="67">
        <f t="shared" si="13"/>
        <v>587.29999999999995</v>
      </c>
      <c r="U82" s="67">
        <f t="shared" si="13"/>
        <v>598.79999999999995</v>
      </c>
      <c r="V82" s="67">
        <f t="shared" si="13"/>
        <v>596</v>
      </c>
      <c r="W82" s="67">
        <f t="shared" si="13"/>
        <v>578</v>
      </c>
      <c r="X82" s="67">
        <f t="shared" si="13"/>
        <v>609.30000000000007</v>
      </c>
      <c r="Y82" s="67">
        <f t="shared" si="13"/>
        <v>605.19999999999993</v>
      </c>
      <c r="Z82" s="67">
        <f t="shared" si="13"/>
        <v>601.4</v>
      </c>
      <c r="AA82" s="67">
        <v>450.5</v>
      </c>
      <c r="AB82" s="67">
        <f t="shared" si="13"/>
        <v>453.20000000000005</v>
      </c>
      <c r="AC82" s="67">
        <f t="shared" si="13"/>
        <v>453.20000000000005</v>
      </c>
      <c r="AD82" s="67">
        <f t="shared" si="13"/>
        <v>568.4</v>
      </c>
      <c r="AE82" s="67">
        <f t="shared" si="13"/>
        <v>526.70000000000005</v>
      </c>
      <c r="AF82" s="67">
        <f t="shared" si="13"/>
        <v>510.5</v>
      </c>
      <c r="AG82" s="95">
        <f>SUM(AG71:AG81)</f>
        <v>0</v>
      </c>
      <c r="AH82" s="52">
        <f t="shared" si="11"/>
        <v>619.1</v>
      </c>
      <c r="AI82" s="53">
        <f t="shared" si="12"/>
        <v>450.5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1"/>
        <v>0</v>
      </c>
      <c r="AI83" s="53">
        <f t="shared" si="12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1"/>
        <v>0</v>
      </c>
      <c r="AI84" s="53">
        <f t="shared" si="12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1"/>
        <v>0</v>
      </c>
      <c r="AI85" s="53">
        <f t="shared" si="12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>
        <v>0</v>
      </c>
      <c r="AB86" s="67"/>
      <c r="AC86" s="67"/>
      <c r="AD86" s="67"/>
      <c r="AE86" s="67"/>
      <c r="AF86" s="67"/>
      <c r="AG86" s="95">
        <f>SUM(AG83:AG85)</f>
        <v>55.4</v>
      </c>
      <c r="AH86" s="52">
        <f t="shared" si="11"/>
        <v>0</v>
      </c>
      <c r="AI86" s="53">
        <f t="shared" si="12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>B48+B52+B70+B66+B82+B86</f>
        <v>1390.6999999999998</v>
      </c>
      <c r="C87" s="102">
        <f t="shared" ref="C87:AG87" si="14">C48+C52+C70+C66+C82+C86</f>
        <v>1304.6399999999999</v>
      </c>
      <c r="D87" s="102">
        <f t="shared" si="14"/>
        <v>1270.3399999999999</v>
      </c>
      <c r="E87" s="102">
        <f t="shared" si="14"/>
        <v>1242.3399999999997</v>
      </c>
      <c r="F87" s="102">
        <f t="shared" si="14"/>
        <v>1255.6399999999999</v>
      </c>
      <c r="G87" s="102">
        <f t="shared" si="14"/>
        <v>1284.3399999999999</v>
      </c>
      <c r="H87" s="102">
        <f t="shared" si="14"/>
        <v>1299.7399999999998</v>
      </c>
      <c r="I87" s="102">
        <f t="shared" si="14"/>
        <v>1347.55</v>
      </c>
      <c r="J87" s="102">
        <f t="shared" si="14"/>
        <v>1440.04</v>
      </c>
      <c r="K87" s="102">
        <f t="shared" si="14"/>
        <v>1458.04</v>
      </c>
      <c r="L87" s="102">
        <f t="shared" si="14"/>
        <v>1417.54</v>
      </c>
      <c r="M87" s="102">
        <f t="shared" si="14"/>
        <v>1345.14</v>
      </c>
      <c r="N87" s="102">
        <f t="shared" si="14"/>
        <v>1389.04</v>
      </c>
      <c r="O87" s="102">
        <f t="shared" si="14"/>
        <v>1460.52</v>
      </c>
      <c r="P87" s="102">
        <f t="shared" si="14"/>
        <v>1497.24</v>
      </c>
      <c r="Q87" s="102">
        <f t="shared" si="14"/>
        <v>1607.04</v>
      </c>
      <c r="R87" s="102">
        <f t="shared" si="14"/>
        <v>1526.8400000000001</v>
      </c>
      <c r="S87" s="102">
        <f t="shared" si="14"/>
        <v>1594.04</v>
      </c>
      <c r="T87" s="102">
        <f t="shared" si="14"/>
        <v>1551.2399999999998</v>
      </c>
      <c r="U87" s="102">
        <f t="shared" si="14"/>
        <v>1574.74</v>
      </c>
      <c r="V87" s="102">
        <f t="shared" si="14"/>
        <v>1568.74</v>
      </c>
      <c r="W87" s="102">
        <f t="shared" si="14"/>
        <v>1439.44</v>
      </c>
      <c r="X87" s="102">
        <f t="shared" si="14"/>
        <v>1419.7400000000002</v>
      </c>
      <c r="Y87" s="102">
        <f t="shared" si="14"/>
        <v>1467.54</v>
      </c>
      <c r="Z87" s="102">
        <f t="shared" si="14"/>
        <v>1592.6399999999999</v>
      </c>
      <c r="AA87" s="102">
        <v>1637.54</v>
      </c>
      <c r="AB87" s="102">
        <f t="shared" si="14"/>
        <v>1586.76</v>
      </c>
      <c r="AC87" s="102">
        <f t="shared" si="14"/>
        <v>1586.76</v>
      </c>
      <c r="AD87" s="102">
        <f t="shared" si="14"/>
        <v>1544.3600000000001</v>
      </c>
      <c r="AE87" s="102">
        <f t="shared" si="14"/>
        <v>1470.3600000000001</v>
      </c>
      <c r="AF87" s="102">
        <f t="shared" si="14"/>
        <v>1478.46</v>
      </c>
      <c r="AG87" s="68">
        <f t="shared" si="14"/>
        <v>2065.09</v>
      </c>
      <c r="AH87" s="52">
        <f>MAX(B87:AF87)</f>
        <v>1637.54</v>
      </c>
      <c r="AI87" s="53">
        <f>MIN(B87:AF87)</f>
        <v>1242.3399999999997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>
        <v>100</v>
      </c>
      <c r="M88" s="104">
        <v>100</v>
      </c>
      <c r="N88" s="104">
        <v>100</v>
      </c>
      <c r="O88" s="104">
        <v>75</v>
      </c>
      <c r="P88" s="104"/>
      <c r="Q88" s="104"/>
      <c r="R88" s="104"/>
      <c r="S88" s="104"/>
      <c r="T88" s="104"/>
      <c r="U88" s="104"/>
      <c r="V88" s="104"/>
      <c r="W88" s="104"/>
      <c r="X88" s="104">
        <v>150</v>
      </c>
      <c r="Y88" s="104">
        <v>150</v>
      </c>
      <c r="Z88" s="104">
        <v>150</v>
      </c>
      <c r="AA88" s="104">
        <v>150</v>
      </c>
      <c r="AB88" s="104">
        <v>150</v>
      </c>
      <c r="AC88" s="104">
        <v>150</v>
      </c>
      <c r="AD88" s="104">
        <v>150</v>
      </c>
      <c r="AE88" s="104"/>
      <c r="AF88" s="104"/>
      <c r="AG88" s="95"/>
      <c r="AH88" s="52">
        <f t="shared" si="11"/>
        <v>150</v>
      </c>
      <c r="AI88" s="53">
        <f t="shared" si="12"/>
        <v>75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>B87+B88</f>
        <v>1390.6999999999998</v>
      </c>
      <c r="C89" s="102">
        <f t="shared" ref="C89:AF89" si="15">C87+C88</f>
        <v>1304.6399999999999</v>
      </c>
      <c r="D89" s="102">
        <f t="shared" si="15"/>
        <v>1270.3399999999999</v>
      </c>
      <c r="E89" s="102">
        <f t="shared" si="15"/>
        <v>1242.3399999999997</v>
      </c>
      <c r="F89" s="102">
        <f t="shared" si="15"/>
        <v>1255.6399999999999</v>
      </c>
      <c r="G89" s="102">
        <f t="shared" si="15"/>
        <v>1284.3399999999999</v>
      </c>
      <c r="H89" s="102">
        <f t="shared" si="15"/>
        <v>1299.7399999999998</v>
      </c>
      <c r="I89" s="102">
        <f t="shared" si="15"/>
        <v>1347.55</v>
      </c>
      <c r="J89" s="102">
        <f t="shared" si="15"/>
        <v>1440.04</v>
      </c>
      <c r="K89" s="102">
        <f t="shared" si="15"/>
        <v>1458.04</v>
      </c>
      <c r="L89" s="102">
        <f t="shared" si="15"/>
        <v>1517.54</v>
      </c>
      <c r="M89" s="102">
        <f t="shared" si="15"/>
        <v>1445.14</v>
      </c>
      <c r="N89" s="102">
        <f t="shared" si="15"/>
        <v>1489.04</v>
      </c>
      <c r="O89" s="102">
        <f t="shared" si="15"/>
        <v>1535.52</v>
      </c>
      <c r="P89" s="102">
        <f t="shared" si="15"/>
        <v>1497.24</v>
      </c>
      <c r="Q89" s="102">
        <f t="shared" si="15"/>
        <v>1607.04</v>
      </c>
      <c r="R89" s="102">
        <f t="shared" si="15"/>
        <v>1526.8400000000001</v>
      </c>
      <c r="S89" s="102">
        <f t="shared" si="15"/>
        <v>1594.04</v>
      </c>
      <c r="T89" s="102">
        <f t="shared" si="15"/>
        <v>1551.2399999999998</v>
      </c>
      <c r="U89" s="102">
        <f t="shared" si="15"/>
        <v>1574.74</v>
      </c>
      <c r="V89" s="102">
        <f t="shared" si="15"/>
        <v>1568.74</v>
      </c>
      <c r="W89" s="102">
        <f t="shared" si="15"/>
        <v>1439.44</v>
      </c>
      <c r="X89" s="102">
        <f t="shared" si="15"/>
        <v>1569.7400000000002</v>
      </c>
      <c r="Y89" s="102">
        <f t="shared" si="15"/>
        <v>1617.54</v>
      </c>
      <c r="Z89" s="102">
        <f t="shared" si="15"/>
        <v>1742.6399999999999</v>
      </c>
      <c r="AA89" s="102">
        <v>1787.54</v>
      </c>
      <c r="AB89" s="102">
        <f t="shared" si="15"/>
        <v>1736.76</v>
      </c>
      <c r="AC89" s="102">
        <f t="shared" si="15"/>
        <v>1736.76</v>
      </c>
      <c r="AD89" s="102">
        <f t="shared" si="15"/>
        <v>1694.3600000000001</v>
      </c>
      <c r="AE89" s="102">
        <f t="shared" si="15"/>
        <v>1470.3600000000001</v>
      </c>
      <c r="AF89" s="102">
        <f t="shared" si="15"/>
        <v>1478.46</v>
      </c>
      <c r="AG89" s="95">
        <f>AG86+AG82+AG70+AG66+AG48+AG88</f>
        <v>1526.99</v>
      </c>
      <c r="AH89" s="52">
        <f t="shared" si="11"/>
        <v>1787.54</v>
      </c>
      <c r="AI89" s="53">
        <f t="shared" si="12"/>
        <v>1242.3399999999997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v>1441.24</v>
      </c>
      <c r="C90" s="102">
        <f t="shared" ref="C90:AF90" si="16">C89-C97</f>
        <v>1304.6399999999999</v>
      </c>
      <c r="D90" s="102">
        <f t="shared" si="16"/>
        <v>1270.3399999999999</v>
      </c>
      <c r="E90" s="102">
        <f t="shared" si="16"/>
        <v>1242.3399999999997</v>
      </c>
      <c r="F90" s="102">
        <f t="shared" si="16"/>
        <v>1255.6399999999999</v>
      </c>
      <c r="G90" s="102">
        <f t="shared" si="16"/>
        <v>1284.3399999999999</v>
      </c>
      <c r="H90" s="102">
        <f t="shared" si="16"/>
        <v>1299.7399999999998</v>
      </c>
      <c r="I90" s="102">
        <f t="shared" si="16"/>
        <v>1347.55</v>
      </c>
      <c r="J90" s="102">
        <f t="shared" si="16"/>
        <v>1440.04</v>
      </c>
      <c r="K90" s="102">
        <f t="shared" si="16"/>
        <v>1458.04</v>
      </c>
      <c r="L90" s="102">
        <f t="shared" si="16"/>
        <v>1517.54</v>
      </c>
      <c r="M90" s="102">
        <f t="shared" si="16"/>
        <v>1445.14</v>
      </c>
      <c r="N90" s="102">
        <f t="shared" si="16"/>
        <v>1489.04</v>
      </c>
      <c r="O90" s="102">
        <f t="shared" si="16"/>
        <v>1535.52</v>
      </c>
      <c r="P90" s="102">
        <f t="shared" si="16"/>
        <v>1497.24</v>
      </c>
      <c r="Q90" s="102">
        <f t="shared" si="16"/>
        <v>1607.04</v>
      </c>
      <c r="R90" s="102">
        <f t="shared" si="16"/>
        <v>1526.8400000000001</v>
      </c>
      <c r="S90" s="102">
        <f t="shared" si="16"/>
        <v>1594.04</v>
      </c>
      <c r="T90" s="102">
        <f t="shared" si="16"/>
        <v>1551.2399999999998</v>
      </c>
      <c r="U90" s="102">
        <f t="shared" si="16"/>
        <v>1574.74</v>
      </c>
      <c r="V90" s="102">
        <f t="shared" si="16"/>
        <v>1568.74</v>
      </c>
      <c r="W90" s="102">
        <f t="shared" si="16"/>
        <v>1439.44</v>
      </c>
      <c r="X90" s="102">
        <f t="shared" si="16"/>
        <v>1569.7400000000002</v>
      </c>
      <c r="Y90" s="102">
        <f t="shared" si="16"/>
        <v>1617.54</v>
      </c>
      <c r="Z90" s="102">
        <f t="shared" si="16"/>
        <v>1742.6399999999999</v>
      </c>
      <c r="AA90" s="102">
        <v>1787.54</v>
      </c>
      <c r="AB90" s="102">
        <f t="shared" si="16"/>
        <v>1736.76</v>
      </c>
      <c r="AC90" s="102">
        <f t="shared" si="16"/>
        <v>1736.76</v>
      </c>
      <c r="AD90" s="102">
        <f t="shared" si="16"/>
        <v>1694.3600000000001</v>
      </c>
      <c r="AE90" s="102">
        <f t="shared" si="16"/>
        <v>1470.3600000000001</v>
      </c>
      <c r="AF90" s="102">
        <f t="shared" si="16"/>
        <v>1478.46</v>
      </c>
      <c r="AG90" s="95"/>
      <c r="AH90" s="52">
        <f t="shared" si="11"/>
        <v>1787.54</v>
      </c>
      <c r="AI90" s="53">
        <f t="shared" si="12"/>
        <v>1242.3399999999997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1"/>
        <v>0</v>
      </c>
      <c r="AI91" s="53">
        <f t="shared" si="12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1"/>
        <v>0</v>
      </c>
      <c r="AI92" s="53">
        <f t="shared" si="12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1"/>
        <v>0</v>
      </c>
      <c r="AI93" s="53">
        <f t="shared" si="12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1"/>
        <v>0</v>
      </c>
      <c r="AI94" s="53">
        <f t="shared" si="12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1"/>
        <v>0</v>
      </c>
      <c r="AI95" s="53">
        <f t="shared" si="12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1"/>
        <v>0</v>
      </c>
      <c r="AI96" s="53">
        <f t="shared" si="12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>
        <v>0</v>
      </c>
      <c r="AB97" s="67"/>
      <c r="AC97" s="67"/>
      <c r="AD97" s="67"/>
      <c r="AE97" s="67"/>
      <c r="AF97" s="67"/>
      <c r="AG97" s="95"/>
      <c r="AH97" s="52">
        <f t="shared" si="11"/>
        <v>0</v>
      </c>
      <c r="AI97" s="53">
        <f t="shared" si="12"/>
        <v>0</v>
      </c>
      <c r="AK97" s="54"/>
    </row>
    <row r="98" spans="1:88" s="1" customFormat="1" ht="15.75" thickBot="1" x14ac:dyDescent="0.3">
      <c r="A98" s="81" t="s">
        <v>106</v>
      </c>
      <c r="B98" s="67">
        <f>B82-B97</f>
        <v>583</v>
      </c>
      <c r="C98" s="67">
        <f t="shared" ref="C98:AF98" si="17">C82-C97</f>
        <v>603</v>
      </c>
      <c r="D98" s="67">
        <f t="shared" si="17"/>
        <v>595</v>
      </c>
      <c r="E98" s="67">
        <f t="shared" si="17"/>
        <v>581.19999999999993</v>
      </c>
      <c r="F98" s="67">
        <f t="shared" si="17"/>
        <v>531.20000000000005</v>
      </c>
      <c r="G98" s="67">
        <f t="shared" si="17"/>
        <v>577.29999999999995</v>
      </c>
      <c r="H98" s="67">
        <f t="shared" si="17"/>
        <v>532.29999999999995</v>
      </c>
      <c r="I98" s="67">
        <f t="shared" si="17"/>
        <v>524.5</v>
      </c>
      <c r="J98" s="67">
        <f t="shared" si="17"/>
        <v>532.6</v>
      </c>
      <c r="K98" s="67">
        <f t="shared" si="17"/>
        <v>526.5</v>
      </c>
      <c r="L98" s="67">
        <f t="shared" si="17"/>
        <v>520.80000000000007</v>
      </c>
      <c r="M98" s="67">
        <f t="shared" si="17"/>
        <v>455.2</v>
      </c>
      <c r="N98" s="67">
        <f t="shared" si="17"/>
        <v>467.3</v>
      </c>
      <c r="O98" s="67">
        <f t="shared" si="17"/>
        <v>551.6</v>
      </c>
      <c r="P98" s="67">
        <f t="shared" si="17"/>
        <v>551.6</v>
      </c>
      <c r="Q98" s="67">
        <f t="shared" si="17"/>
        <v>619.1</v>
      </c>
      <c r="R98" s="67">
        <f t="shared" si="17"/>
        <v>592</v>
      </c>
      <c r="S98" s="67">
        <f t="shared" si="17"/>
        <v>588</v>
      </c>
      <c r="T98" s="67">
        <f t="shared" si="17"/>
        <v>587.29999999999995</v>
      </c>
      <c r="U98" s="67">
        <f t="shared" si="17"/>
        <v>598.79999999999995</v>
      </c>
      <c r="V98" s="67">
        <f t="shared" si="17"/>
        <v>596</v>
      </c>
      <c r="W98" s="67">
        <f t="shared" si="17"/>
        <v>578</v>
      </c>
      <c r="X98" s="67">
        <f t="shared" si="17"/>
        <v>609.30000000000007</v>
      </c>
      <c r="Y98" s="67">
        <f t="shared" si="17"/>
        <v>605.19999999999993</v>
      </c>
      <c r="Z98" s="67">
        <f t="shared" si="17"/>
        <v>601.4</v>
      </c>
      <c r="AA98" s="67">
        <v>450.5</v>
      </c>
      <c r="AB98" s="67">
        <f t="shared" si="17"/>
        <v>453.20000000000005</v>
      </c>
      <c r="AC98" s="67">
        <f t="shared" si="17"/>
        <v>453.20000000000005</v>
      </c>
      <c r="AD98" s="67">
        <f t="shared" si="17"/>
        <v>568.4</v>
      </c>
      <c r="AE98" s="67">
        <f t="shared" si="17"/>
        <v>526.70000000000005</v>
      </c>
      <c r="AF98" s="67">
        <f t="shared" si="17"/>
        <v>510.5</v>
      </c>
      <c r="AG98" s="95"/>
      <c r="AH98" s="52">
        <f t="shared" si="11"/>
        <v>619.1</v>
      </c>
      <c r="AI98" s="53">
        <f t="shared" si="12"/>
        <v>450.5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50.05</v>
      </c>
      <c r="C99" s="108">
        <v>50.015000000000001</v>
      </c>
      <c r="D99" s="108">
        <v>50.036999999999999</v>
      </c>
      <c r="E99" s="108">
        <v>50.09</v>
      </c>
      <c r="F99" s="108">
        <v>50.06</v>
      </c>
      <c r="G99" s="108">
        <v>49.930999999999997</v>
      </c>
      <c r="H99" s="108">
        <v>49.984000000000002</v>
      </c>
      <c r="I99" s="108">
        <v>50.040999999999997</v>
      </c>
      <c r="J99" s="108">
        <v>50.040999999999997</v>
      </c>
      <c r="K99" s="108">
        <v>49.978000000000002</v>
      </c>
      <c r="L99" s="108">
        <v>49.962000000000003</v>
      </c>
      <c r="M99" s="108">
        <v>50.024000000000001</v>
      </c>
      <c r="N99" s="108">
        <v>49.92</v>
      </c>
      <c r="O99" s="108">
        <v>49.94</v>
      </c>
      <c r="P99" s="108">
        <v>50.003999999999998</v>
      </c>
      <c r="Q99" s="108">
        <v>50.01</v>
      </c>
      <c r="R99" s="108">
        <v>49.895000000000003</v>
      </c>
      <c r="S99" s="108">
        <v>49.98</v>
      </c>
      <c r="T99" s="108">
        <v>49.85</v>
      </c>
      <c r="U99" s="108">
        <v>49.92</v>
      </c>
      <c r="V99" s="108">
        <v>50.05</v>
      </c>
      <c r="W99" s="108">
        <v>49.97</v>
      </c>
      <c r="X99" s="108">
        <v>49.9</v>
      </c>
      <c r="Y99" s="108">
        <v>49.96</v>
      </c>
      <c r="Z99" s="108">
        <v>50.1</v>
      </c>
      <c r="AA99" s="108">
        <v>49.97</v>
      </c>
      <c r="AB99" s="108">
        <v>49.951000000000001</v>
      </c>
      <c r="AC99" s="108">
        <v>49.951000000000001</v>
      </c>
      <c r="AD99" s="108">
        <v>49.997999999999998</v>
      </c>
      <c r="AE99" s="108">
        <v>50.006999999999998</v>
      </c>
      <c r="AF99" s="108">
        <v>49.932000000000002</v>
      </c>
      <c r="AG99" s="109"/>
      <c r="AH99" s="52">
        <f t="shared" si="11"/>
        <v>50.1</v>
      </c>
      <c r="AI99" s="53">
        <f t="shared" si="12"/>
        <v>49.85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126.8</v>
      </c>
      <c r="C100" s="72">
        <v>125.7</v>
      </c>
      <c r="D100" s="72">
        <v>126.5</v>
      </c>
      <c r="E100" s="72">
        <v>127.8</v>
      </c>
      <c r="F100" s="72">
        <v>125.5</v>
      </c>
      <c r="G100" s="72">
        <v>125</v>
      </c>
      <c r="H100" s="72">
        <v>126.9</v>
      </c>
      <c r="I100" s="72">
        <v>127.1</v>
      </c>
      <c r="J100" s="72">
        <v>127.1</v>
      </c>
      <c r="K100" s="72">
        <v>126.4</v>
      </c>
      <c r="L100" s="72">
        <v>124.3</v>
      </c>
      <c r="M100" s="72">
        <v>125.2</v>
      </c>
      <c r="N100" s="72">
        <v>122.7</v>
      </c>
      <c r="O100" s="72">
        <v>122.9</v>
      </c>
      <c r="P100" s="72">
        <v>122.1</v>
      </c>
      <c r="Q100" s="72">
        <v>120.9</v>
      </c>
      <c r="R100" s="72">
        <v>123.7</v>
      </c>
      <c r="S100" s="72">
        <v>122</v>
      </c>
      <c r="T100" s="72">
        <v>121.3</v>
      </c>
      <c r="U100" s="72">
        <v>123</v>
      </c>
      <c r="V100" s="72">
        <v>124.1</v>
      </c>
      <c r="W100" s="72">
        <v>126.6</v>
      </c>
      <c r="X100" s="72">
        <v>125.5</v>
      </c>
      <c r="Y100" s="72">
        <v>126.8</v>
      </c>
      <c r="Z100" s="72">
        <v>126.4</v>
      </c>
      <c r="AA100" s="72">
        <v>126.1</v>
      </c>
      <c r="AB100" s="72">
        <v>129</v>
      </c>
      <c r="AC100" s="72">
        <v>129</v>
      </c>
      <c r="AD100" s="72">
        <v>127.6</v>
      </c>
      <c r="AE100" s="72">
        <v>127</v>
      </c>
      <c r="AF100" s="72">
        <v>124.4</v>
      </c>
      <c r="AG100" s="111"/>
      <c r="AH100" s="52">
        <f t="shared" si="11"/>
        <v>129</v>
      </c>
      <c r="AI100" s="53">
        <f t="shared" si="12"/>
        <v>120.9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131.1</v>
      </c>
      <c r="C101" s="72">
        <v>130.19999999999999</v>
      </c>
      <c r="D101" s="72">
        <v>130.69999999999999</v>
      </c>
      <c r="E101" s="72">
        <v>131.69999999999999</v>
      </c>
      <c r="F101" s="72">
        <v>130.19999999999999</v>
      </c>
      <c r="G101" s="72">
        <v>130.1</v>
      </c>
      <c r="H101" s="72">
        <v>130.69999999999999</v>
      </c>
      <c r="I101" s="72">
        <v>130.19999999999999</v>
      </c>
      <c r="J101" s="72">
        <v>130.19999999999999</v>
      </c>
      <c r="K101" s="72">
        <v>130</v>
      </c>
      <c r="L101" s="72">
        <v>127.7</v>
      </c>
      <c r="M101" s="72">
        <v>128.5</v>
      </c>
      <c r="N101" s="72">
        <v>126.3</v>
      </c>
      <c r="O101" s="72">
        <v>126</v>
      </c>
      <c r="P101" s="72">
        <v>126.1</v>
      </c>
      <c r="Q101" s="72">
        <v>125.2</v>
      </c>
      <c r="R101" s="72">
        <v>127.3</v>
      </c>
      <c r="S101" s="72">
        <v>126.1</v>
      </c>
      <c r="T101" s="72">
        <v>125.9</v>
      </c>
      <c r="U101" s="72">
        <v>126.8</v>
      </c>
      <c r="V101" s="72">
        <v>127.7</v>
      </c>
      <c r="W101" s="72">
        <v>129.6</v>
      </c>
      <c r="X101" s="72">
        <v>129</v>
      </c>
      <c r="Y101" s="72">
        <v>129.6</v>
      </c>
      <c r="Z101" s="72">
        <v>128.9</v>
      </c>
      <c r="AA101" s="72">
        <v>128.6</v>
      </c>
      <c r="AB101" s="72">
        <v>130.30000000000001</v>
      </c>
      <c r="AC101" s="72">
        <v>130.30000000000001</v>
      </c>
      <c r="AD101" s="72">
        <v>130.6</v>
      </c>
      <c r="AE101" s="72">
        <v>130.80000000000001</v>
      </c>
      <c r="AF101" s="72">
        <v>129.19999999999999</v>
      </c>
      <c r="AG101" s="111"/>
      <c r="AH101" s="52">
        <f t="shared" si="11"/>
        <v>131.69999999999999</v>
      </c>
      <c r="AI101" s="53">
        <f t="shared" si="12"/>
        <v>125.2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129.1</v>
      </c>
      <c r="C102" s="72">
        <v>129.69999999999999</v>
      </c>
      <c r="D102" s="72">
        <v>129.69999999999999</v>
      </c>
      <c r="E102" s="72">
        <v>130.69999999999999</v>
      </c>
      <c r="F102" s="72">
        <v>130.1</v>
      </c>
      <c r="G102" s="72">
        <v>131.5</v>
      </c>
      <c r="H102" s="72">
        <v>130.30000000000001</v>
      </c>
      <c r="I102" s="72">
        <v>129</v>
      </c>
      <c r="J102" s="72">
        <v>129</v>
      </c>
      <c r="K102" s="72">
        <v>129.6</v>
      </c>
      <c r="L102" s="72">
        <v>128.30000000000001</v>
      </c>
      <c r="M102" s="72">
        <v>124.8</v>
      </c>
      <c r="N102" s="72">
        <v>126.6</v>
      </c>
      <c r="O102" s="72">
        <v>124.2</v>
      </c>
      <c r="P102" s="72">
        <v>120.4</v>
      </c>
      <c r="Q102" s="72">
        <v>124</v>
      </c>
      <c r="R102" s="72">
        <v>123.9</v>
      </c>
      <c r="S102" s="72">
        <v>120.5</v>
      </c>
      <c r="T102" s="72">
        <v>124.8</v>
      </c>
      <c r="U102" s="72">
        <v>127.6</v>
      </c>
      <c r="V102" s="72">
        <v>127.3</v>
      </c>
      <c r="W102" s="72">
        <v>124.4</v>
      </c>
      <c r="X102" s="72">
        <v>127.7</v>
      </c>
      <c r="Y102" s="72">
        <v>126</v>
      </c>
      <c r="Z102" s="72">
        <v>126.5</v>
      </c>
      <c r="AA102" s="72">
        <v>123.1</v>
      </c>
      <c r="AB102" s="72">
        <v>129.19999999999999</v>
      </c>
      <c r="AC102" s="72">
        <v>129.19999999999999</v>
      </c>
      <c r="AD102" s="72">
        <v>128.69999999999999</v>
      </c>
      <c r="AE102" s="72">
        <v>128.19999999999999</v>
      </c>
      <c r="AF102" s="72">
        <v>124.4</v>
      </c>
      <c r="AG102" s="111"/>
      <c r="AH102" s="52">
        <f t="shared" si="11"/>
        <v>131.5</v>
      </c>
      <c r="AI102" s="53">
        <f t="shared" si="12"/>
        <v>120.4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1"/>
        <v>0</v>
      </c>
      <c r="AI103" s="53">
        <f t="shared" si="12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131.30000000000001</v>
      </c>
      <c r="C104" s="113">
        <v>128</v>
      </c>
      <c r="D104" s="113">
        <v>132.69999999999999</v>
      </c>
      <c r="E104" s="113">
        <v>132</v>
      </c>
      <c r="F104" s="113">
        <v>130</v>
      </c>
      <c r="G104" s="113">
        <v>131.9</v>
      </c>
      <c r="H104" s="113">
        <v>130</v>
      </c>
      <c r="I104" s="113">
        <v>134.6</v>
      </c>
      <c r="J104" s="113">
        <v>134.6</v>
      </c>
      <c r="K104" s="113">
        <v>134.5</v>
      </c>
      <c r="L104" s="113">
        <v>134.4</v>
      </c>
      <c r="M104" s="113">
        <v>134.5</v>
      </c>
      <c r="N104" s="113">
        <v>129.69999999999999</v>
      </c>
      <c r="O104" s="113">
        <v>133.1</v>
      </c>
      <c r="P104" s="113">
        <v>132.80000000000001</v>
      </c>
      <c r="Q104" s="113">
        <v>133.9</v>
      </c>
      <c r="R104" s="113">
        <v>135.4</v>
      </c>
      <c r="S104" s="113">
        <v>137</v>
      </c>
      <c r="T104" s="113">
        <v>130</v>
      </c>
      <c r="U104" s="113">
        <v>130.1</v>
      </c>
      <c r="V104" s="113">
        <v>133.4</v>
      </c>
      <c r="W104" s="113">
        <v>134.4</v>
      </c>
      <c r="X104" s="113">
        <v>133.19999999999999</v>
      </c>
      <c r="Y104" s="113">
        <v>131.69999999999999</v>
      </c>
      <c r="Z104" s="113">
        <v>132.69999999999999</v>
      </c>
      <c r="AA104" s="113">
        <v>133.5</v>
      </c>
      <c r="AB104" s="113">
        <v>136.69999999999999</v>
      </c>
      <c r="AC104" s="113">
        <v>136.69999999999999</v>
      </c>
      <c r="AD104" s="113">
        <v>134.1</v>
      </c>
      <c r="AE104" s="113">
        <v>133.6</v>
      </c>
      <c r="AF104" s="113">
        <v>128.5</v>
      </c>
      <c r="AG104" s="114"/>
      <c r="AH104" s="52">
        <f t="shared" si="11"/>
        <v>137</v>
      </c>
      <c r="AI104" s="53">
        <f t="shared" si="12"/>
        <v>128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132.4</v>
      </c>
      <c r="C105" s="72">
        <v>131.80000000000001</v>
      </c>
      <c r="D105" s="72">
        <v>135.4</v>
      </c>
      <c r="E105" s="72">
        <v>135.4</v>
      </c>
      <c r="F105" s="72">
        <v>133.1</v>
      </c>
      <c r="G105" s="72">
        <v>133.30000000000001</v>
      </c>
      <c r="H105" s="72">
        <v>131.9</v>
      </c>
      <c r="I105" s="72">
        <v>132.69999999999999</v>
      </c>
      <c r="J105" s="72">
        <v>132.69999999999999</v>
      </c>
      <c r="K105" s="72">
        <v>130.5</v>
      </c>
      <c r="L105" s="72">
        <v>130.4</v>
      </c>
      <c r="M105" s="72">
        <v>131.69999999999999</v>
      </c>
      <c r="N105" s="72">
        <v>127.7</v>
      </c>
      <c r="O105" s="72">
        <v>129.1</v>
      </c>
      <c r="P105" s="72">
        <v>132</v>
      </c>
      <c r="Q105" s="72">
        <v>126.8</v>
      </c>
      <c r="R105" s="72">
        <v>122.3</v>
      </c>
      <c r="S105" s="72">
        <v>126.6</v>
      </c>
      <c r="T105" s="72">
        <v>131.4</v>
      </c>
      <c r="U105" s="72">
        <v>126.3</v>
      </c>
      <c r="V105" s="72">
        <v>135.4</v>
      </c>
      <c r="W105" s="72">
        <v>134.19999999999999</v>
      </c>
      <c r="X105" s="72">
        <v>133.4</v>
      </c>
      <c r="Y105" s="72">
        <v>133.4</v>
      </c>
      <c r="Z105" s="72">
        <v>136.69999999999999</v>
      </c>
      <c r="AA105" s="72"/>
      <c r="AB105" s="72"/>
      <c r="AC105" s="72"/>
      <c r="AD105" s="72"/>
      <c r="AE105" s="72"/>
      <c r="AF105" s="72"/>
      <c r="AG105" s="111"/>
      <c r="AH105" s="52">
        <f t="shared" si="11"/>
        <v>136.69999999999999</v>
      </c>
      <c r="AI105" s="53">
        <f t="shared" si="12"/>
        <v>122.3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65.7</v>
      </c>
      <c r="C106" s="99">
        <v>65.5</v>
      </c>
      <c r="D106" s="99">
        <v>65.900000000000006</v>
      </c>
      <c r="E106" s="99">
        <v>66.3</v>
      </c>
      <c r="F106" s="99">
        <v>65.5</v>
      </c>
      <c r="G106" s="99">
        <v>65.099999999999994</v>
      </c>
      <c r="H106" s="99">
        <v>65.599999999999994</v>
      </c>
      <c r="I106" s="99">
        <v>65.099999999999994</v>
      </c>
      <c r="J106" s="99">
        <v>65.099999999999994</v>
      </c>
      <c r="K106" s="99">
        <v>64.7</v>
      </c>
      <c r="L106" s="99">
        <v>64</v>
      </c>
      <c r="M106" s="99">
        <v>64.400000000000006</v>
      </c>
      <c r="N106" s="99">
        <v>63</v>
      </c>
      <c r="O106" s="99">
        <v>62.8</v>
      </c>
      <c r="P106" s="99">
        <v>63.1</v>
      </c>
      <c r="Q106" s="99">
        <v>62.9</v>
      </c>
      <c r="R106" s="99">
        <v>63.7</v>
      </c>
      <c r="S106" s="99">
        <v>62.8</v>
      </c>
      <c r="T106" s="99">
        <v>62.7</v>
      </c>
      <c r="U106" s="99">
        <v>63.1</v>
      </c>
      <c r="V106" s="99">
        <v>63.6</v>
      </c>
      <c r="W106" s="99">
        <v>64.900000000000006</v>
      </c>
      <c r="X106" s="99">
        <v>64.599999999999994</v>
      </c>
      <c r="Y106" s="99">
        <v>65</v>
      </c>
      <c r="Z106" s="99">
        <v>64.400000000000006</v>
      </c>
      <c r="AA106" s="99">
        <v>64.2</v>
      </c>
      <c r="AB106" s="99">
        <v>65.099999999999994</v>
      </c>
      <c r="AC106" s="99">
        <v>65.099999999999994</v>
      </c>
      <c r="AD106" s="99">
        <v>65.5</v>
      </c>
      <c r="AE106" s="99">
        <v>65.5</v>
      </c>
      <c r="AF106" s="99">
        <v>65.400000000000006</v>
      </c>
      <c r="AG106" s="115"/>
      <c r="AH106" s="52">
        <f t="shared" si="11"/>
        <v>66.3</v>
      </c>
      <c r="AI106" s="53">
        <f t="shared" si="12"/>
        <v>62.7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/>
      <c r="AA107" s="99" t="s">
        <v>115</v>
      </c>
      <c r="AB107" s="99"/>
      <c r="AC107" s="99"/>
      <c r="AD107" s="99"/>
      <c r="AE107" s="99"/>
      <c r="AF107" s="99"/>
      <c r="AG107" s="115"/>
      <c r="AH107" s="52">
        <f t="shared" si="11"/>
        <v>0</v>
      </c>
      <c r="AI107" s="53">
        <f t="shared" si="12"/>
        <v>0</v>
      </c>
    </row>
    <row r="108" spans="1:88" ht="15.75" thickBot="1" x14ac:dyDescent="0.3">
      <c r="A108" s="117" t="s">
        <v>116</v>
      </c>
      <c r="B108" s="118">
        <f t="shared" ref="B108:AF108" si="18">SUM(B18,B24,B27:B28,B56,B58:B59,B61,B63,B109:B113,B135,B141,B147,B156,B158,B170,B177,B180:B181,B188,B190,B192,B196:B198,B200:B202,B207,B213:B214,B216:B218,B226,B231)</f>
        <v>118.19999999999999</v>
      </c>
      <c r="C108" s="118">
        <f t="shared" si="18"/>
        <v>103.23999999999998</v>
      </c>
      <c r="D108" s="118">
        <f t="shared" si="18"/>
        <v>104.03999999999998</v>
      </c>
      <c r="E108" s="118">
        <f t="shared" si="18"/>
        <v>84.54</v>
      </c>
      <c r="F108" s="118">
        <f t="shared" si="18"/>
        <v>97.14</v>
      </c>
      <c r="G108" s="118">
        <f t="shared" si="18"/>
        <v>123.13999999999999</v>
      </c>
      <c r="H108" s="118">
        <f t="shared" si="18"/>
        <v>153.83999999999997</v>
      </c>
      <c r="I108" s="118">
        <f t="shared" si="18"/>
        <v>185.64999999999998</v>
      </c>
      <c r="J108" s="118">
        <f t="shared" si="18"/>
        <v>256.14999999999998</v>
      </c>
      <c r="K108" s="118">
        <f t="shared" si="18"/>
        <v>259.73999999999995</v>
      </c>
      <c r="L108" s="118">
        <f t="shared" si="18"/>
        <v>263.83999999999997</v>
      </c>
      <c r="M108" s="118">
        <f t="shared" si="18"/>
        <v>270.83999999999997</v>
      </c>
      <c r="N108" s="118">
        <f t="shared" si="18"/>
        <v>266.94</v>
      </c>
      <c r="O108" s="118">
        <f t="shared" si="18"/>
        <v>269.24</v>
      </c>
      <c r="P108" s="118">
        <v>42</v>
      </c>
      <c r="Q108" s="118">
        <f t="shared" si="18"/>
        <v>261.8</v>
      </c>
      <c r="R108" s="118">
        <f t="shared" si="18"/>
        <v>254.59999999999997</v>
      </c>
      <c r="S108" s="118">
        <f t="shared" si="18"/>
        <v>244.79999999999995</v>
      </c>
      <c r="T108" s="118">
        <f t="shared" si="18"/>
        <v>255.08999999999997</v>
      </c>
      <c r="U108" s="118">
        <f t="shared" si="18"/>
        <v>240.68</v>
      </c>
      <c r="V108" s="118">
        <f t="shared" si="18"/>
        <v>219.8</v>
      </c>
      <c r="W108" s="118">
        <f t="shared" si="18"/>
        <v>239.1</v>
      </c>
      <c r="X108" s="118">
        <f t="shared" si="18"/>
        <v>245.5</v>
      </c>
      <c r="Y108" s="118">
        <f t="shared" si="18"/>
        <v>257.20000000000005</v>
      </c>
      <c r="Z108" s="118">
        <f t="shared" si="18"/>
        <v>314.09999999999997</v>
      </c>
      <c r="AA108" s="118">
        <v>401.49708333333336</v>
      </c>
      <c r="AB108" s="118">
        <f t="shared" si="18"/>
        <v>273.22000000000003</v>
      </c>
      <c r="AC108" s="118">
        <f t="shared" si="18"/>
        <v>273.22000000000003</v>
      </c>
      <c r="AD108" s="118">
        <f t="shared" si="18"/>
        <v>248.92000000000002</v>
      </c>
      <c r="AE108" s="118">
        <f t="shared" si="18"/>
        <v>180.02</v>
      </c>
      <c r="AF108" s="118">
        <f t="shared" si="18"/>
        <v>152.22000000000003</v>
      </c>
      <c r="AG108" s="119"/>
      <c r="AH108" s="52">
        <f t="shared" si="11"/>
        <v>401.49708333333336</v>
      </c>
      <c r="AI108" s="53">
        <f t="shared" si="12"/>
        <v>42</v>
      </c>
    </row>
    <row r="109" spans="1:88" x14ac:dyDescent="0.25">
      <c r="A109" s="107" t="s">
        <v>117</v>
      </c>
      <c r="B109" s="120">
        <v>-6</v>
      </c>
      <c r="C109" s="120">
        <v>-11.2</v>
      </c>
      <c r="D109" s="120">
        <v>-16.7</v>
      </c>
      <c r="E109" s="120">
        <v>-11.9</v>
      </c>
      <c r="F109" s="120">
        <v>-13.5</v>
      </c>
      <c r="G109" s="120">
        <v>-11.4</v>
      </c>
      <c r="H109" s="120">
        <v>3.7</v>
      </c>
      <c r="I109" s="120">
        <v>11.6</v>
      </c>
      <c r="J109" s="120">
        <v>30.21</v>
      </c>
      <c r="K109" s="120">
        <v>28.3</v>
      </c>
      <c r="L109" s="120">
        <v>25.6</v>
      </c>
      <c r="M109" s="120">
        <v>29.3</v>
      </c>
      <c r="N109" s="120">
        <v>21.5</v>
      </c>
      <c r="O109" s="120">
        <v>20.100000000000001</v>
      </c>
      <c r="P109" s="120">
        <v>20</v>
      </c>
      <c r="Q109" s="120">
        <v>19.2</v>
      </c>
      <c r="R109" s="120">
        <v>20.2</v>
      </c>
      <c r="S109" s="120">
        <v>16.899999999999999</v>
      </c>
      <c r="T109" s="120">
        <v>25.3</v>
      </c>
      <c r="U109" s="120">
        <v>11.5</v>
      </c>
      <c r="V109" s="120">
        <v>15.2</v>
      </c>
      <c r="W109" s="120">
        <v>12.3</v>
      </c>
      <c r="X109" s="120">
        <v>5.6</v>
      </c>
      <c r="Y109" s="120">
        <v>8.6999999999999993</v>
      </c>
      <c r="Z109" s="120">
        <v>32.200000000000003</v>
      </c>
      <c r="AA109" s="120">
        <v>36</v>
      </c>
      <c r="AB109" s="120">
        <v>34.1</v>
      </c>
      <c r="AC109" s="120">
        <v>34.1</v>
      </c>
      <c r="AD109" s="120">
        <v>17.399999999999999</v>
      </c>
      <c r="AE109" s="120">
        <v>13.3</v>
      </c>
      <c r="AF109" s="120">
        <v>-4.3</v>
      </c>
      <c r="AG109" s="121">
        <v>75</v>
      </c>
      <c r="AH109" s="52">
        <f t="shared" si="11"/>
        <v>36</v>
      </c>
      <c r="AI109" s="53">
        <f t="shared" si="12"/>
        <v>-16.7</v>
      </c>
    </row>
    <row r="110" spans="1:88" x14ac:dyDescent="0.25">
      <c r="A110" s="110" t="s">
        <v>118</v>
      </c>
      <c r="B110" s="122">
        <v>1.8</v>
      </c>
      <c r="C110" s="122">
        <v>-5.2</v>
      </c>
      <c r="D110" s="122">
        <v>-14.4</v>
      </c>
      <c r="E110" s="122">
        <v>-7.5</v>
      </c>
      <c r="F110" s="122">
        <v>-9.5</v>
      </c>
      <c r="G110" s="122">
        <v>-8</v>
      </c>
      <c r="H110" s="122">
        <v>14.3</v>
      </c>
      <c r="I110" s="122">
        <v>21.6</v>
      </c>
      <c r="J110" s="122">
        <v>41</v>
      </c>
      <c r="K110" s="122">
        <v>39.1</v>
      </c>
      <c r="L110" s="122">
        <v>35.299999999999997</v>
      </c>
      <c r="M110" s="122">
        <v>42.2</v>
      </c>
      <c r="N110" s="122">
        <v>31.7</v>
      </c>
      <c r="O110" s="122">
        <v>34.200000000000003</v>
      </c>
      <c r="P110" s="122">
        <v>38</v>
      </c>
      <c r="Q110" s="122">
        <v>36.700000000000003</v>
      </c>
      <c r="R110" s="122">
        <v>38</v>
      </c>
      <c r="S110" s="122">
        <v>33.1</v>
      </c>
      <c r="T110" s="122">
        <v>41.69</v>
      </c>
      <c r="U110" s="122">
        <v>22.3</v>
      </c>
      <c r="V110" s="122">
        <v>22.8</v>
      </c>
      <c r="W110" s="122">
        <v>14.4</v>
      </c>
      <c r="X110" s="122">
        <v>3.7</v>
      </c>
      <c r="Y110" s="122">
        <v>7.7</v>
      </c>
      <c r="Z110" s="122">
        <v>43.2</v>
      </c>
      <c r="AA110" s="122">
        <v>47.7</v>
      </c>
      <c r="AB110" s="122">
        <v>44.4</v>
      </c>
      <c r="AC110" s="122">
        <v>44.4</v>
      </c>
      <c r="AD110" s="122">
        <v>26.3</v>
      </c>
      <c r="AE110" s="122">
        <v>21.8</v>
      </c>
      <c r="AF110" s="122">
        <v>2</v>
      </c>
      <c r="AG110" s="121">
        <v>240</v>
      </c>
      <c r="AH110" s="52">
        <f t="shared" si="11"/>
        <v>47.7</v>
      </c>
      <c r="AI110" s="53">
        <f t="shared" si="12"/>
        <v>-14.4</v>
      </c>
    </row>
    <row r="111" spans="1:88" x14ac:dyDescent="0.25">
      <c r="A111" s="110" t="s">
        <v>119</v>
      </c>
      <c r="B111" s="122">
        <v>-66</v>
      </c>
      <c r="C111" s="122">
        <v>-66</v>
      </c>
      <c r="D111" s="122">
        <v>-60</v>
      </c>
      <c r="E111" s="122">
        <v>-80.599999999999994</v>
      </c>
      <c r="F111" s="122">
        <v>-76</v>
      </c>
      <c r="G111" s="122">
        <v>-59</v>
      </c>
      <c r="H111" s="122">
        <v>-57.8</v>
      </c>
      <c r="I111" s="122">
        <v>-42</v>
      </c>
      <c r="J111" s="122">
        <v>-14.7</v>
      </c>
      <c r="K111" s="122">
        <v>-12</v>
      </c>
      <c r="L111" s="122">
        <v>-13.1</v>
      </c>
      <c r="M111" s="122">
        <v>-12.6</v>
      </c>
      <c r="N111" s="122">
        <v>-15</v>
      </c>
      <c r="O111" s="122">
        <v>-20</v>
      </c>
      <c r="P111" s="122">
        <v>-43</v>
      </c>
      <c r="Q111" s="122">
        <f>-15.5-19.8</f>
        <v>-35.299999999999997</v>
      </c>
      <c r="R111" s="122">
        <v>-38.4</v>
      </c>
      <c r="S111" s="122">
        <f>-32-18.4</f>
        <v>-50.4</v>
      </c>
      <c r="T111" s="122">
        <f>-31.3-17.8</f>
        <v>-49.1</v>
      </c>
      <c r="U111" s="122">
        <f>-39.4-9.32</f>
        <v>-48.72</v>
      </c>
      <c r="V111" s="122">
        <f>-43.6-11.8</f>
        <v>-55.400000000000006</v>
      </c>
      <c r="W111" s="122">
        <f>-15.1-1.4</f>
        <v>-16.5</v>
      </c>
      <c r="X111" s="122">
        <f>-6.1+3</f>
        <v>-3.0999999999999996</v>
      </c>
      <c r="Y111" s="122">
        <f>-10.9+5.8</f>
        <v>-5.1000000000000005</v>
      </c>
      <c r="Z111" s="122">
        <f>-3.7+11.9</f>
        <v>8.1999999999999993</v>
      </c>
      <c r="AA111" s="122">
        <v>8.1999999999999993</v>
      </c>
      <c r="AB111" s="122">
        <v>-16.100000000000001</v>
      </c>
      <c r="AC111" s="122">
        <v>-16.100000000000001</v>
      </c>
      <c r="AD111" s="122">
        <v>-9</v>
      </c>
      <c r="AE111" s="122">
        <v>-53</v>
      </c>
      <c r="AF111" s="122">
        <v>-52</v>
      </c>
      <c r="AG111" s="121">
        <v>240</v>
      </c>
      <c r="AH111" s="52">
        <f t="shared" si="11"/>
        <v>8.1999999999999993</v>
      </c>
      <c r="AI111" s="53">
        <f t="shared" si="12"/>
        <v>-80.599999999999994</v>
      </c>
    </row>
    <row r="112" spans="1:88" x14ac:dyDescent="0.25">
      <c r="A112" s="110" t="s">
        <v>120</v>
      </c>
      <c r="B112" s="122">
        <v>9.4</v>
      </c>
      <c r="C112" s="122">
        <v>8.4</v>
      </c>
      <c r="D112" s="122">
        <v>10.7</v>
      </c>
      <c r="E112" s="122">
        <v>9.1999999999999993</v>
      </c>
      <c r="F112" s="122">
        <v>2.5</v>
      </c>
      <c r="G112" s="122">
        <v>4.7</v>
      </c>
      <c r="H112" s="122">
        <v>8.1</v>
      </c>
      <c r="I112" s="122">
        <v>0.9</v>
      </c>
      <c r="J112" s="122">
        <v>6.2</v>
      </c>
      <c r="K112" s="122">
        <v>5.5</v>
      </c>
      <c r="L112" s="122">
        <v>7</v>
      </c>
      <c r="M112" s="122">
        <v>5.2</v>
      </c>
      <c r="N112" s="122">
        <v>5.5</v>
      </c>
      <c r="O112" s="122">
        <v>4.2</v>
      </c>
      <c r="P112" s="122">
        <v>18.3</v>
      </c>
      <c r="Q112" s="122">
        <v>14.4</v>
      </c>
      <c r="R112" s="122">
        <v>11.1</v>
      </c>
      <c r="S112" s="122">
        <v>18.2</v>
      </c>
      <c r="T112" s="122">
        <v>19.600000000000001</v>
      </c>
      <c r="U112" s="122">
        <v>41</v>
      </c>
      <c r="V112" s="122">
        <v>36.299999999999997</v>
      </c>
      <c r="W112" s="122">
        <v>27.6</v>
      </c>
      <c r="X112" s="122">
        <v>19.3</v>
      </c>
      <c r="Y112" s="122">
        <v>28.8</v>
      </c>
      <c r="Z112" s="122">
        <v>34.4</v>
      </c>
      <c r="AA112" s="122">
        <v>35.1</v>
      </c>
      <c r="AB112" s="122">
        <v>32.5</v>
      </c>
      <c r="AC112" s="122">
        <v>32.5</v>
      </c>
      <c r="AD112" s="122">
        <v>14.8</v>
      </c>
      <c r="AE112" s="122">
        <v>6.6</v>
      </c>
      <c r="AF112" s="122">
        <v>12.3</v>
      </c>
      <c r="AG112" s="121">
        <v>60</v>
      </c>
      <c r="AH112" s="52">
        <f t="shared" si="11"/>
        <v>41</v>
      </c>
      <c r="AI112" s="53">
        <f t="shared" si="12"/>
        <v>0.9</v>
      </c>
    </row>
    <row r="113" spans="1:37" x14ac:dyDescent="0.25">
      <c r="A113" s="123" t="s">
        <v>121</v>
      </c>
      <c r="B113" s="124">
        <v>78.8</v>
      </c>
      <c r="C113" s="124">
        <v>79.099999999999994</v>
      </c>
      <c r="D113" s="124">
        <v>86.3</v>
      </c>
      <c r="E113" s="124">
        <v>74.900000000000006</v>
      </c>
      <c r="F113" s="124">
        <v>93.2</v>
      </c>
      <c r="G113" s="124">
        <v>99.6</v>
      </c>
      <c r="H113" s="124">
        <v>88.3</v>
      </c>
      <c r="I113" s="124">
        <v>96.3</v>
      </c>
      <c r="J113" s="124">
        <v>96.3</v>
      </c>
      <c r="K113" s="124">
        <v>101.6</v>
      </c>
      <c r="L113" s="124">
        <v>111.9</v>
      </c>
      <c r="M113" s="124">
        <v>106.4</v>
      </c>
      <c r="N113" s="124">
        <v>113</v>
      </c>
      <c r="O113" s="124">
        <v>115.8</v>
      </c>
      <c r="P113" s="124">
        <v>105.9</v>
      </c>
      <c r="Q113" s="124">
        <v>115.2</v>
      </c>
      <c r="R113" s="124">
        <v>103.5</v>
      </c>
      <c r="S113" s="124">
        <v>106.8</v>
      </c>
      <c r="T113" s="124">
        <v>99.7</v>
      </c>
      <c r="U113" s="124">
        <v>99.7</v>
      </c>
      <c r="V113" s="124">
        <v>94</v>
      </c>
      <c r="W113" s="124">
        <v>96.4</v>
      </c>
      <c r="X113" s="124">
        <v>117</v>
      </c>
      <c r="Y113" s="124">
        <v>114.1</v>
      </c>
      <c r="Z113" s="124">
        <v>93.4</v>
      </c>
      <c r="AA113" s="124">
        <v>102.6</v>
      </c>
      <c r="AB113" s="124">
        <v>84.1</v>
      </c>
      <c r="AC113" s="124">
        <v>84.1</v>
      </c>
      <c r="AD113" s="124">
        <v>105.2</v>
      </c>
      <c r="AE113" s="124">
        <v>97.1</v>
      </c>
      <c r="AF113" s="124">
        <v>100</v>
      </c>
      <c r="AG113" s="125">
        <v>120</v>
      </c>
      <c r="AH113" s="52">
        <f t="shared" si="11"/>
        <v>117</v>
      </c>
      <c r="AI113" s="53">
        <f t="shared" si="12"/>
        <v>74.900000000000006</v>
      </c>
    </row>
    <row r="114" spans="1:37" x14ac:dyDescent="0.25">
      <c r="A114" s="123" t="s">
        <v>122</v>
      </c>
      <c r="B114" s="124">
        <v>91.8</v>
      </c>
      <c r="C114" s="124">
        <v>93.4</v>
      </c>
      <c r="D114" s="124">
        <v>98</v>
      </c>
      <c r="E114" s="124">
        <v>90.6</v>
      </c>
      <c r="F114" s="124">
        <v>105</v>
      </c>
      <c r="G114" s="124">
        <v>107.6</v>
      </c>
      <c r="H114" s="124">
        <v>95</v>
      </c>
      <c r="I114" s="124">
        <v>92.8</v>
      </c>
      <c r="J114" s="124">
        <v>92.8</v>
      </c>
      <c r="K114" s="124">
        <v>86</v>
      </c>
      <c r="L114" s="124">
        <v>94</v>
      </c>
      <c r="M114" s="124">
        <v>86.1</v>
      </c>
      <c r="N114" s="124">
        <v>97.4</v>
      </c>
      <c r="O114" s="124">
        <v>103.3</v>
      </c>
      <c r="P114" s="124">
        <v>106.7</v>
      </c>
      <c r="Q114" s="124">
        <v>114.6</v>
      </c>
      <c r="R114" s="124">
        <v>103.1</v>
      </c>
      <c r="S114" s="124">
        <v>104.6</v>
      </c>
      <c r="T114" s="124">
        <v>105.5</v>
      </c>
      <c r="U114" s="124">
        <v>102</v>
      </c>
      <c r="V114" s="124">
        <v>94.8</v>
      </c>
      <c r="W114" s="124">
        <v>95.7</v>
      </c>
      <c r="X114" s="124">
        <v>97</v>
      </c>
      <c r="Y114" s="124">
        <v>88.2</v>
      </c>
      <c r="Z114" s="124">
        <v>94.1</v>
      </c>
      <c r="AA114" s="124">
        <v>82.7</v>
      </c>
      <c r="AB114" s="124">
        <v>94.3</v>
      </c>
      <c r="AC114" s="124">
        <v>94.3</v>
      </c>
      <c r="AD114" s="124">
        <v>91</v>
      </c>
      <c r="AE114" s="124">
        <v>104</v>
      </c>
      <c r="AF114" s="124">
        <v>104.5</v>
      </c>
      <c r="AG114" s="125"/>
      <c r="AH114" s="52">
        <f t="shared" si="11"/>
        <v>114.6</v>
      </c>
      <c r="AI114" s="53">
        <f t="shared" si="12"/>
        <v>82.7</v>
      </c>
    </row>
    <row r="115" spans="1:37" x14ac:dyDescent="0.25">
      <c r="A115" s="123" t="s">
        <v>123</v>
      </c>
      <c r="B115" s="124">
        <v>54.4</v>
      </c>
      <c r="C115" s="124"/>
      <c r="D115" s="124"/>
      <c r="E115" s="124">
        <v>58.8</v>
      </c>
      <c r="F115" s="124">
        <v>80.8</v>
      </c>
      <c r="G115" s="124">
        <v>55.5</v>
      </c>
      <c r="H115" s="124">
        <v>52</v>
      </c>
      <c r="I115" s="124">
        <v>44.9</v>
      </c>
      <c r="J115" s="124">
        <v>44.9</v>
      </c>
      <c r="K115" s="124">
        <v>21.2</v>
      </c>
      <c r="L115" s="124">
        <v>21.9</v>
      </c>
      <c r="M115" s="124">
        <v>22.2</v>
      </c>
      <c r="N115" s="124">
        <v>41.9</v>
      </c>
      <c r="O115" s="124">
        <v>25</v>
      </c>
      <c r="P115" s="124">
        <v>23.9</v>
      </c>
      <c r="Q115" s="124">
        <v>30.5</v>
      </c>
      <c r="R115" s="124">
        <v>24.1</v>
      </c>
      <c r="S115" s="124">
        <v>26.8</v>
      </c>
      <c r="T115" s="124">
        <v>26.8</v>
      </c>
      <c r="U115" s="124">
        <v>24.5</v>
      </c>
      <c r="V115" s="124">
        <v>27</v>
      </c>
      <c r="W115" s="124">
        <v>37.700000000000003</v>
      </c>
      <c r="X115" s="124">
        <v>38.4</v>
      </c>
      <c r="Y115" s="124">
        <v>45.1</v>
      </c>
      <c r="Z115" s="124"/>
      <c r="AA115" s="124"/>
      <c r="AB115" s="124"/>
      <c r="AC115" s="124"/>
      <c r="AD115" s="124"/>
      <c r="AE115" s="124"/>
      <c r="AF115" s="124"/>
      <c r="AG115" s="126"/>
      <c r="AH115" s="52">
        <f t="shared" si="11"/>
        <v>80.8</v>
      </c>
      <c r="AI115" s="53">
        <f t="shared" si="12"/>
        <v>21.2</v>
      </c>
    </row>
    <row r="116" spans="1:37" x14ac:dyDescent="0.25">
      <c r="A116" s="127" t="s">
        <v>124</v>
      </c>
      <c r="B116" s="113">
        <v>-4.9000000000000004</v>
      </c>
      <c r="C116" s="113">
        <v>1.5</v>
      </c>
      <c r="D116" s="113">
        <v>-2.1</v>
      </c>
      <c r="E116" s="113">
        <v>0</v>
      </c>
      <c r="F116" s="113">
        <v>12.7</v>
      </c>
      <c r="G116" s="113">
        <v>-15.5</v>
      </c>
      <c r="H116" s="113">
        <v>-2.8</v>
      </c>
      <c r="I116" s="113">
        <v>-2.2000000000000002</v>
      </c>
      <c r="J116" s="113">
        <v>-2.2000000000000002</v>
      </c>
      <c r="K116" s="113">
        <v>-19.3</v>
      </c>
      <c r="L116" s="113">
        <v>-25.1</v>
      </c>
      <c r="M116" s="113">
        <v>-24.5</v>
      </c>
      <c r="N116" s="113">
        <v>-25.1</v>
      </c>
      <c r="O116" s="113">
        <v>-26.8</v>
      </c>
      <c r="P116" s="113">
        <v>-26.2</v>
      </c>
      <c r="Q116" s="113">
        <v>-25.4</v>
      </c>
      <c r="R116" s="113">
        <v>-27.1</v>
      </c>
      <c r="S116" s="113">
        <v>-32.299999999999997</v>
      </c>
      <c r="T116" s="113">
        <v>-32.299999999999997</v>
      </c>
      <c r="U116" s="113">
        <v>-31.3</v>
      </c>
      <c r="V116" s="113">
        <v>-25</v>
      </c>
      <c r="W116" s="113">
        <v>-36.1</v>
      </c>
      <c r="X116" s="113">
        <v>-34.5</v>
      </c>
      <c r="Y116" s="113">
        <v>-39</v>
      </c>
      <c r="Z116" s="113">
        <v>-48.3</v>
      </c>
      <c r="AA116" s="113">
        <v>-44.7</v>
      </c>
      <c r="AB116" s="113">
        <v>-40.6</v>
      </c>
      <c r="AC116" s="113">
        <v>-40.6</v>
      </c>
      <c r="AD116" s="113">
        <v>-36.299999999999997</v>
      </c>
      <c r="AE116" s="113">
        <v>-27.6</v>
      </c>
      <c r="AF116" s="113">
        <v>-27</v>
      </c>
      <c r="AG116" s="126"/>
      <c r="AH116" s="52">
        <f t="shared" si="11"/>
        <v>12.7</v>
      </c>
      <c r="AI116" s="53">
        <f t="shared" si="12"/>
        <v>-48.3</v>
      </c>
    </row>
    <row r="117" spans="1:37" ht="15.75" thickBot="1" x14ac:dyDescent="0.3">
      <c r="A117" s="127" t="s">
        <v>125</v>
      </c>
      <c r="B117" s="113">
        <v>101</v>
      </c>
      <c r="C117" s="113">
        <v>95.5</v>
      </c>
      <c r="D117" s="113">
        <v>94.3</v>
      </c>
      <c r="E117" s="113">
        <v>95.1</v>
      </c>
      <c r="F117" s="113">
        <v>90</v>
      </c>
      <c r="G117" s="113">
        <v>76.5</v>
      </c>
      <c r="H117" s="113">
        <v>82</v>
      </c>
      <c r="I117" s="113">
        <v>90.1</v>
      </c>
      <c r="J117" s="113">
        <v>90.1</v>
      </c>
      <c r="K117" s="113">
        <v>100</v>
      </c>
      <c r="L117" s="113">
        <v>106.9</v>
      </c>
      <c r="M117" s="113">
        <v>103</v>
      </c>
      <c r="N117" s="113">
        <v>102.8</v>
      </c>
      <c r="O117" s="113">
        <v>105.7</v>
      </c>
      <c r="P117" s="113">
        <v>107.2</v>
      </c>
      <c r="Q117" s="113">
        <v>107</v>
      </c>
      <c r="R117" s="113">
        <v>114.5</v>
      </c>
      <c r="S117" s="113">
        <v>117.3</v>
      </c>
      <c r="T117" s="113">
        <v>90.1</v>
      </c>
      <c r="U117" s="113">
        <v>91.2</v>
      </c>
      <c r="V117" s="113">
        <v>88.3</v>
      </c>
      <c r="W117" s="113">
        <v>95</v>
      </c>
      <c r="X117" s="113">
        <v>94.5</v>
      </c>
      <c r="Y117" s="113">
        <v>104.2</v>
      </c>
      <c r="Z117" s="113">
        <v>115.3</v>
      </c>
      <c r="AA117" s="113">
        <v>122.7</v>
      </c>
      <c r="AB117" s="113">
        <v>117</v>
      </c>
      <c r="AC117" s="113">
        <v>117</v>
      </c>
      <c r="AD117" s="113">
        <v>114.1</v>
      </c>
      <c r="AE117" s="113">
        <v>108.6</v>
      </c>
      <c r="AF117" s="113">
        <v>109.6</v>
      </c>
      <c r="AG117" s="126"/>
      <c r="AH117" s="52">
        <f t="shared" si="11"/>
        <v>122.7</v>
      </c>
      <c r="AI117" s="53">
        <f t="shared" si="12"/>
        <v>76.5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19">SUM(B119:B223)</f>
        <v>0</v>
      </c>
      <c r="C224" s="144">
        <f t="shared" si="19"/>
        <v>0</v>
      </c>
      <c r="D224" s="144">
        <f t="shared" si="19"/>
        <v>0</v>
      </c>
      <c r="E224" s="144">
        <f t="shared" si="19"/>
        <v>0</v>
      </c>
      <c r="F224" s="144">
        <f t="shared" si="19"/>
        <v>0</v>
      </c>
      <c r="G224" s="144">
        <f t="shared" si="19"/>
        <v>0</v>
      </c>
      <c r="H224" s="144">
        <f t="shared" si="19"/>
        <v>0</v>
      </c>
      <c r="I224" s="144">
        <f t="shared" si="19"/>
        <v>0</v>
      </c>
      <c r="J224" s="144">
        <f t="shared" si="19"/>
        <v>0</v>
      </c>
      <c r="K224" s="144">
        <f t="shared" si="19"/>
        <v>0</v>
      </c>
      <c r="L224" s="144">
        <f t="shared" si="19"/>
        <v>0</v>
      </c>
      <c r="M224" s="144">
        <f t="shared" si="19"/>
        <v>0</v>
      </c>
      <c r="N224" s="144">
        <f t="shared" si="19"/>
        <v>0</v>
      </c>
      <c r="O224" s="144">
        <f t="shared" si="19"/>
        <v>0</v>
      </c>
      <c r="P224" s="144">
        <f t="shared" si="19"/>
        <v>0</v>
      </c>
      <c r="Q224" s="144">
        <f t="shared" si="19"/>
        <v>0</v>
      </c>
      <c r="R224" s="144">
        <f t="shared" si="19"/>
        <v>0</v>
      </c>
      <c r="S224" s="144">
        <f t="shared" si="19"/>
        <v>0</v>
      </c>
      <c r="T224" s="144">
        <f t="shared" si="19"/>
        <v>0</v>
      </c>
      <c r="U224" s="144">
        <f t="shared" si="19"/>
        <v>0</v>
      </c>
      <c r="V224" s="144">
        <f t="shared" si="19"/>
        <v>0</v>
      </c>
      <c r="W224" s="144">
        <f t="shared" si="19"/>
        <v>0</v>
      </c>
      <c r="X224" s="144">
        <f t="shared" si="19"/>
        <v>0</v>
      </c>
      <c r="Y224" s="144">
        <f t="shared" si="19"/>
        <v>0</v>
      </c>
      <c r="Z224" s="144">
        <f t="shared" si="19"/>
        <v>0</v>
      </c>
      <c r="AA224" s="144">
        <f t="shared" si="19"/>
        <v>0</v>
      </c>
      <c r="AB224" s="144">
        <f t="shared" si="19"/>
        <v>0</v>
      </c>
      <c r="AC224" s="144">
        <f t="shared" si="19"/>
        <v>0</v>
      </c>
      <c r="AD224" s="144">
        <f t="shared" si="19"/>
        <v>0</v>
      </c>
      <c r="AE224" s="144">
        <f t="shared" si="19"/>
        <v>0</v>
      </c>
      <c r="AF224" s="145">
        <f t="shared" si="19"/>
        <v>0</v>
      </c>
      <c r="AG224" s="146">
        <f t="shared" si="19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20">AF226</f>
        <v>0</v>
      </c>
      <c r="C226" s="149">
        <v>0.3</v>
      </c>
      <c r="D226" s="149">
        <f t="shared" ref="D226:P231" si="21">C226</f>
        <v>0.3</v>
      </c>
      <c r="E226" s="149">
        <f t="shared" si="21"/>
        <v>0.3</v>
      </c>
      <c r="F226" s="149">
        <f t="shared" si="21"/>
        <v>0.3</v>
      </c>
      <c r="G226" s="149">
        <f t="shared" si="21"/>
        <v>0.3</v>
      </c>
      <c r="H226" s="149">
        <f t="shared" si="21"/>
        <v>0.3</v>
      </c>
      <c r="I226" s="149">
        <f t="shared" si="21"/>
        <v>0.3</v>
      </c>
      <c r="J226" s="149">
        <f t="shared" si="21"/>
        <v>0.3</v>
      </c>
      <c r="K226" s="149">
        <f t="shared" si="21"/>
        <v>0.3</v>
      </c>
      <c r="L226" s="149">
        <f t="shared" si="21"/>
        <v>0.3</v>
      </c>
      <c r="M226" s="149">
        <f t="shared" si="21"/>
        <v>0.3</v>
      </c>
      <c r="N226" s="149">
        <f t="shared" si="21"/>
        <v>0.3</v>
      </c>
      <c r="O226" s="149">
        <f t="shared" si="21"/>
        <v>0.3</v>
      </c>
      <c r="P226" s="149">
        <f t="shared" si="21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20"/>
        <v>0</v>
      </c>
      <c r="C227" s="136">
        <v>0.4</v>
      </c>
      <c r="D227" s="136">
        <f t="shared" si="21"/>
        <v>0.4</v>
      </c>
      <c r="E227" s="136">
        <f t="shared" si="21"/>
        <v>0.4</v>
      </c>
      <c r="F227" s="136">
        <f t="shared" si="21"/>
        <v>0.4</v>
      </c>
      <c r="G227" s="136">
        <f t="shared" si="21"/>
        <v>0.4</v>
      </c>
      <c r="H227" s="136">
        <f t="shared" si="21"/>
        <v>0.4</v>
      </c>
      <c r="I227" s="136">
        <f t="shared" si="21"/>
        <v>0.4</v>
      </c>
      <c r="J227" s="136">
        <f t="shared" si="21"/>
        <v>0.4</v>
      </c>
      <c r="K227" s="136">
        <f t="shared" si="21"/>
        <v>0.4</v>
      </c>
      <c r="L227" s="136">
        <f t="shared" si="21"/>
        <v>0.4</v>
      </c>
      <c r="M227" s="136">
        <f t="shared" si="21"/>
        <v>0.4</v>
      </c>
      <c r="N227" s="136">
        <f t="shared" si="21"/>
        <v>0.4</v>
      </c>
      <c r="O227" s="136">
        <f t="shared" si="21"/>
        <v>0.4</v>
      </c>
      <c r="P227" s="136">
        <f t="shared" si="21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20"/>
        <v>0</v>
      </c>
      <c r="C228" s="136">
        <v>1.5</v>
      </c>
      <c r="D228" s="136">
        <f t="shared" si="21"/>
        <v>1.5</v>
      </c>
      <c r="E228" s="136">
        <f t="shared" si="21"/>
        <v>1.5</v>
      </c>
      <c r="F228" s="136">
        <f t="shared" si="21"/>
        <v>1.5</v>
      </c>
      <c r="G228" s="136">
        <f t="shared" si="21"/>
        <v>1.5</v>
      </c>
      <c r="H228" s="136">
        <f t="shared" si="21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21"/>
        <v>1.5</v>
      </c>
      <c r="K228" s="136">
        <f t="shared" ca="1" si="21"/>
        <v>1.5</v>
      </c>
      <c r="L228" s="136">
        <f t="shared" ca="1" si="21"/>
        <v>1.5</v>
      </c>
      <c r="M228" s="136">
        <f t="shared" ca="1" si="21"/>
        <v>1.5</v>
      </c>
      <c r="N228" s="136">
        <f t="shared" ca="1" si="21"/>
        <v>1.5</v>
      </c>
      <c r="O228" s="136">
        <f t="shared" ca="1" si="21"/>
        <v>1.5</v>
      </c>
      <c r="P228" s="136">
        <f t="shared" ca="1" si="21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20"/>
        <v>0</v>
      </c>
      <c r="C229" s="136">
        <v>0.3</v>
      </c>
      <c r="D229" s="136">
        <f t="shared" si="21"/>
        <v>0.3</v>
      </c>
      <c r="E229" s="136">
        <f t="shared" si="21"/>
        <v>0.3</v>
      </c>
      <c r="F229" s="136">
        <f t="shared" si="21"/>
        <v>0.3</v>
      </c>
      <c r="G229" s="136">
        <f t="shared" si="21"/>
        <v>0.3</v>
      </c>
      <c r="H229" s="136">
        <f t="shared" si="21"/>
        <v>0.3</v>
      </c>
      <c r="I229" s="136">
        <f t="shared" si="21"/>
        <v>0.3</v>
      </c>
      <c r="J229" s="136">
        <f t="shared" si="21"/>
        <v>0.3</v>
      </c>
      <c r="K229" s="136">
        <f t="shared" si="21"/>
        <v>0.3</v>
      </c>
      <c r="L229" s="136">
        <f t="shared" si="21"/>
        <v>0.3</v>
      </c>
      <c r="M229" s="136">
        <f t="shared" si="21"/>
        <v>0.3</v>
      </c>
      <c r="N229" s="136">
        <f t="shared" si="21"/>
        <v>0.3</v>
      </c>
      <c r="O229" s="136">
        <f t="shared" si="21"/>
        <v>0.3</v>
      </c>
      <c r="P229" s="136">
        <f t="shared" si="21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20"/>
        <v>0</v>
      </c>
      <c r="C230" s="136">
        <v>0.4</v>
      </c>
      <c r="D230" s="136">
        <f t="shared" si="21"/>
        <v>0.4</v>
      </c>
      <c r="E230" s="136">
        <f t="shared" si="21"/>
        <v>0.4</v>
      </c>
      <c r="F230" s="136">
        <f t="shared" si="21"/>
        <v>0.4</v>
      </c>
      <c r="G230" s="136">
        <f t="shared" si="21"/>
        <v>0.4</v>
      </c>
      <c r="H230" s="136">
        <f t="shared" si="21"/>
        <v>0.4</v>
      </c>
      <c r="I230" s="136">
        <f t="shared" si="21"/>
        <v>0.4</v>
      </c>
      <c r="J230" s="136">
        <f t="shared" si="21"/>
        <v>0.4</v>
      </c>
      <c r="K230" s="136">
        <f t="shared" si="21"/>
        <v>0.4</v>
      </c>
      <c r="L230" s="136">
        <f t="shared" si="21"/>
        <v>0.4</v>
      </c>
      <c r="M230" s="136">
        <f t="shared" si="21"/>
        <v>0.4</v>
      </c>
      <c r="N230" s="136">
        <f t="shared" si="21"/>
        <v>0.4</v>
      </c>
      <c r="O230" s="136">
        <f t="shared" si="21"/>
        <v>0.4</v>
      </c>
      <c r="P230" s="136">
        <f t="shared" si="21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20"/>
        <v>0</v>
      </c>
      <c r="C231" s="140">
        <v>0.64</v>
      </c>
      <c r="D231" s="140">
        <f t="shared" si="21"/>
        <v>0.64</v>
      </c>
      <c r="E231" s="140">
        <f t="shared" si="21"/>
        <v>0.64</v>
      </c>
      <c r="F231" s="140">
        <f t="shared" si="21"/>
        <v>0.64</v>
      </c>
      <c r="G231" s="140">
        <f t="shared" si="21"/>
        <v>0.64</v>
      </c>
      <c r="H231" s="140">
        <f t="shared" si="21"/>
        <v>0.64</v>
      </c>
      <c r="I231" s="140">
        <f t="shared" si="21"/>
        <v>0.64</v>
      </c>
      <c r="J231" s="140">
        <f t="shared" si="21"/>
        <v>0.64</v>
      </c>
      <c r="K231" s="140">
        <f t="shared" si="21"/>
        <v>0.64</v>
      </c>
      <c r="L231" s="140">
        <f t="shared" si="21"/>
        <v>0.64</v>
      </c>
      <c r="M231" s="140">
        <f t="shared" si="21"/>
        <v>0.64</v>
      </c>
      <c r="N231" s="140">
        <f t="shared" si="21"/>
        <v>0.64</v>
      </c>
      <c r="O231" s="140">
        <f t="shared" si="21"/>
        <v>0.64</v>
      </c>
      <c r="P231" s="140">
        <f t="shared" si="21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22">SUM(B226:B231)</f>
        <v>0</v>
      </c>
      <c r="C232" s="144">
        <f t="shared" si="22"/>
        <v>3.54</v>
      </c>
      <c r="D232" s="144">
        <f t="shared" si="22"/>
        <v>3.54</v>
      </c>
      <c r="E232" s="144">
        <f t="shared" si="22"/>
        <v>3.54</v>
      </c>
      <c r="F232" s="144">
        <f t="shared" si="22"/>
        <v>3.54</v>
      </c>
      <c r="G232" s="144">
        <f t="shared" si="22"/>
        <v>3.54</v>
      </c>
      <c r="H232" s="144">
        <f t="shared" si="22"/>
        <v>3.54</v>
      </c>
      <c r="I232" s="144">
        <f t="shared" ca="1" si="22"/>
        <v>3.54</v>
      </c>
      <c r="J232" s="144">
        <f t="shared" ca="1" si="22"/>
        <v>3.54</v>
      </c>
      <c r="K232" s="144">
        <f t="shared" ca="1" si="22"/>
        <v>3.54</v>
      </c>
      <c r="L232" s="144">
        <f t="shared" ca="1" si="22"/>
        <v>3.54</v>
      </c>
      <c r="M232" s="144">
        <f t="shared" ca="1" si="22"/>
        <v>3.54</v>
      </c>
      <c r="N232" s="144">
        <f t="shared" ca="1" si="22"/>
        <v>3.54</v>
      </c>
      <c r="O232" s="144">
        <f t="shared" ca="1" si="22"/>
        <v>3.54</v>
      </c>
      <c r="P232" s="144">
        <f t="shared" ca="1" si="22"/>
        <v>3.54</v>
      </c>
      <c r="Q232" s="144">
        <f t="shared" si="22"/>
        <v>0</v>
      </c>
      <c r="R232" s="144">
        <f t="shared" si="22"/>
        <v>0</v>
      </c>
      <c r="S232" s="144">
        <f t="shared" si="22"/>
        <v>0</v>
      </c>
      <c r="T232" s="144">
        <f t="shared" si="22"/>
        <v>0</v>
      </c>
      <c r="U232" s="144">
        <f t="shared" si="22"/>
        <v>0</v>
      </c>
      <c r="V232" s="144">
        <f t="shared" si="22"/>
        <v>0</v>
      </c>
      <c r="W232" s="144">
        <f t="shared" si="22"/>
        <v>0</v>
      </c>
      <c r="X232" s="144">
        <f t="shared" si="22"/>
        <v>0</v>
      </c>
      <c r="Y232" s="144">
        <f t="shared" si="22"/>
        <v>0</v>
      </c>
      <c r="Z232" s="144">
        <f t="shared" si="22"/>
        <v>0</v>
      </c>
      <c r="AA232" s="144">
        <f t="shared" si="22"/>
        <v>0</v>
      </c>
      <c r="AB232" s="144">
        <f t="shared" si="22"/>
        <v>0</v>
      </c>
      <c r="AC232" s="144">
        <f t="shared" si="22"/>
        <v>0</v>
      </c>
      <c r="AD232" s="144">
        <f t="shared" si="22"/>
        <v>0</v>
      </c>
      <c r="AE232" s="144">
        <f t="shared" si="22"/>
        <v>0</v>
      </c>
      <c r="AF232" s="144">
        <f t="shared" si="22"/>
        <v>0</v>
      </c>
      <c r="AG232" s="154">
        <f t="shared" si="22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1517.54</v>
      </c>
      <c r="C241" s="170">
        <f>INDEX(G9:N9,1,MATCH(MAX(G89:N89),G89:N89,0))</f>
        <v>0.3125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25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2079/12/25)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2079/12/25)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23">B89</f>
        <v>1390.6999999999998</v>
      </c>
      <c r="U246" s="180">
        <f t="shared" si="23"/>
        <v>1304.6399999999999</v>
      </c>
      <c r="V246" s="180">
        <f t="shared" si="23"/>
        <v>1270.3399999999999</v>
      </c>
      <c r="W246" s="180">
        <f t="shared" si="23"/>
        <v>1242.3399999999997</v>
      </c>
      <c r="X246" s="180">
        <f t="shared" si="23"/>
        <v>1255.6399999999999</v>
      </c>
      <c r="Y246" s="180">
        <f t="shared" si="23"/>
        <v>1284.3399999999999</v>
      </c>
      <c r="Z246" s="180">
        <f t="shared" si="23"/>
        <v>1299.7399999999998</v>
      </c>
      <c r="AA246" s="180">
        <f t="shared" si="23"/>
        <v>1347.55</v>
      </c>
      <c r="AB246" s="180">
        <f t="shared" si="23"/>
        <v>1440.04</v>
      </c>
      <c r="AC246" s="180">
        <f t="shared" si="23"/>
        <v>1458.04</v>
      </c>
      <c r="AD246" s="180">
        <f t="shared" si="23"/>
        <v>1517.54</v>
      </c>
      <c r="AE246" s="180">
        <f t="shared" si="23"/>
        <v>1445.14</v>
      </c>
      <c r="AF246" s="180">
        <f t="shared" si="23"/>
        <v>1489.04</v>
      </c>
      <c r="AG246" s="180">
        <f t="shared" si="23"/>
        <v>1535.52</v>
      </c>
      <c r="AH246" s="180">
        <f t="shared" si="23"/>
        <v>1497.24</v>
      </c>
      <c r="AI246" s="180">
        <f t="shared" si="23"/>
        <v>1607.04</v>
      </c>
      <c r="AJ246" s="180">
        <f t="shared" si="23"/>
        <v>1526.8400000000001</v>
      </c>
      <c r="AK246" s="180">
        <f t="shared" si="23"/>
        <v>1594.04</v>
      </c>
      <c r="AL246" s="180">
        <f t="shared" si="23"/>
        <v>1551.2399999999998</v>
      </c>
      <c r="AM246" s="180">
        <f t="shared" si="23"/>
        <v>1574.74</v>
      </c>
      <c r="AN246" s="180">
        <f t="shared" si="23"/>
        <v>1568.74</v>
      </c>
      <c r="AO246" s="180">
        <f t="shared" si="23"/>
        <v>1439.44</v>
      </c>
      <c r="AP246" s="180">
        <f t="shared" si="23"/>
        <v>1569.7400000000002</v>
      </c>
      <c r="AQ246" s="180">
        <f t="shared" si="23"/>
        <v>1617.54</v>
      </c>
      <c r="AR246" s="180">
        <f t="shared" si="23"/>
        <v>1742.6399999999999</v>
      </c>
      <c r="AS246" s="180">
        <f t="shared" si="23"/>
        <v>1787.54</v>
      </c>
      <c r="AT246" s="180">
        <f t="shared" si="23"/>
        <v>1736.76</v>
      </c>
      <c r="AU246" s="180">
        <f t="shared" si="23"/>
        <v>1736.76</v>
      </c>
      <c r="AV246" s="180">
        <f t="shared" si="23"/>
        <v>1694.3600000000001</v>
      </c>
      <c r="AW246" s="180">
        <f t="shared" si="23"/>
        <v>1470.3600000000001</v>
      </c>
      <c r="AX246" s="180">
        <f t="shared" si="23"/>
        <v>1478.46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24">C231</f>
        <v>0.64</v>
      </c>
      <c r="C267" s="183">
        <f t="shared" si="24"/>
        <v>0.64</v>
      </c>
      <c r="D267" s="183">
        <f t="shared" si="24"/>
        <v>0.64</v>
      </c>
      <c r="E267" s="183">
        <f t="shared" si="24"/>
        <v>0.64</v>
      </c>
      <c r="F267" s="183">
        <f t="shared" si="24"/>
        <v>0.64</v>
      </c>
      <c r="G267" s="183">
        <f t="shared" si="24"/>
        <v>0.64</v>
      </c>
      <c r="H267" s="183">
        <f t="shared" si="24"/>
        <v>0.64</v>
      </c>
      <c r="I267" s="183">
        <f t="shared" si="24"/>
        <v>0.64</v>
      </c>
      <c r="J267" s="183">
        <f t="shared" si="24"/>
        <v>0.64</v>
      </c>
      <c r="K267" s="183">
        <f t="shared" si="24"/>
        <v>0.64</v>
      </c>
      <c r="L267" s="183">
        <f t="shared" si="24"/>
        <v>0.64</v>
      </c>
      <c r="M267" s="183">
        <f t="shared" si="24"/>
        <v>0.64</v>
      </c>
      <c r="N267" s="183">
        <f t="shared" si="24"/>
        <v>0.64</v>
      </c>
      <c r="O267" s="183">
        <f t="shared" si="24"/>
        <v>0.64</v>
      </c>
      <c r="P267" s="183">
        <f t="shared" si="24"/>
        <v>0</v>
      </c>
      <c r="Q267" s="183">
        <f t="shared" si="24"/>
        <v>0</v>
      </c>
      <c r="R267" s="183">
        <f t="shared" si="24"/>
        <v>0</v>
      </c>
      <c r="S267" s="183">
        <f t="shared" si="24"/>
        <v>0</v>
      </c>
      <c r="T267" s="183">
        <f t="shared" si="24"/>
        <v>0</v>
      </c>
      <c r="U267" s="183">
        <f t="shared" si="24"/>
        <v>0</v>
      </c>
      <c r="V267" s="183">
        <f t="shared" si="24"/>
        <v>0</v>
      </c>
      <c r="W267" s="183">
        <f t="shared" si="24"/>
        <v>0</v>
      </c>
      <c r="X267" s="183">
        <f t="shared" si="24"/>
        <v>0</v>
      </c>
      <c r="Y267" s="183">
        <f t="shared" si="24"/>
        <v>0</v>
      </c>
      <c r="Z267" s="183">
        <f t="shared" si="24"/>
        <v>0</v>
      </c>
      <c r="AA267" s="183">
        <f t="shared" si="24"/>
        <v>0</v>
      </c>
      <c r="AB267" s="183">
        <f t="shared" si="24"/>
        <v>0</v>
      </c>
      <c r="AC267" s="183">
        <f t="shared" si="24"/>
        <v>0</v>
      </c>
      <c r="AD267" s="183">
        <f t="shared" si="24"/>
        <v>0</v>
      </c>
      <c r="AE267" s="183">
        <f t="shared" si="24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25">IF(B235&lt;100,"",B235-520)</f>
        <v/>
      </c>
      <c r="C268" s="184" t="str">
        <f t="shared" si="25"/>
        <v/>
      </c>
      <c r="D268" s="184" t="str">
        <f t="shared" si="25"/>
        <v/>
      </c>
      <c r="E268" s="184" t="str">
        <f t="shared" si="25"/>
        <v/>
      </c>
      <c r="F268" s="184" t="str">
        <f t="shared" si="25"/>
        <v/>
      </c>
      <c r="G268" s="184" t="str">
        <f t="shared" si="25"/>
        <v/>
      </c>
      <c r="H268" s="184" t="str">
        <f t="shared" si="25"/>
        <v/>
      </c>
      <c r="I268" s="184" t="str">
        <f t="shared" si="25"/>
        <v/>
      </c>
      <c r="J268" s="184" t="str">
        <f t="shared" si="25"/>
        <v/>
      </c>
      <c r="K268" s="184" t="str">
        <f t="shared" si="25"/>
        <v/>
      </c>
      <c r="L268" s="184" t="str">
        <f t="shared" si="25"/>
        <v/>
      </c>
      <c r="M268" s="184" t="str">
        <f t="shared" si="25"/>
        <v/>
      </c>
      <c r="N268" s="184" t="str">
        <f t="shared" si="25"/>
        <v/>
      </c>
      <c r="O268" s="184" t="str">
        <f t="shared" si="25"/>
        <v/>
      </c>
      <c r="P268" s="184" t="str">
        <f t="shared" si="25"/>
        <v/>
      </c>
      <c r="Q268" s="184" t="str">
        <f t="shared" si="25"/>
        <v/>
      </c>
      <c r="R268" s="184" t="str">
        <f t="shared" si="25"/>
        <v/>
      </c>
      <c r="S268" s="184" t="str">
        <f t="shared" si="25"/>
        <v/>
      </c>
      <c r="T268" s="184" t="str">
        <f t="shared" si="25"/>
        <v/>
      </c>
      <c r="U268" s="184" t="str">
        <f t="shared" si="25"/>
        <v/>
      </c>
      <c r="V268" s="184" t="str">
        <f t="shared" si="25"/>
        <v/>
      </c>
      <c r="W268" s="184" t="str">
        <f t="shared" si="25"/>
        <v/>
      </c>
      <c r="X268" s="184" t="str">
        <f t="shared" si="25"/>
        <v/>
      </c>
      <c r="Y268" s="184" t="str">
        <f t="shared" si="25"/>
        <v/>
      </c>
      <c r="Z268" s="184" t="str">
        <f t="shared" si="25"/>
        <v/>
      </c>
      <c r="AA268" s="184" t="str">
        <f t="shared" si="25"/>
        <v/>
      </c>
      <c r="AB268" s="184" t="str">
        <f t="shared" si="25"/>
        <v/>
      </c>
      <c r="AC268" s="184" t="str">
        <f t="shared" si="25"/>
        <v/>
      </c>
      <c r="AD268" s="184" t="str">
        <f t="shared" si="25"/>
        <v/>
      </c>
      <c r="AE268" s="184" t="str">
        <f t="shared" si="25"/>
        <v/>
      </c>
      <c r="AF268" s="184" t="str">
        <f t="shared" si="25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26">IF(B236&lt;100,"",B236-620)</f>
        <v/>
      </c>
      <c r="C269" s="184" t="str">
        <f t="shared" si="26"/>
        <v/>
      </c>
      <c r="D269" s="184" t="str">
        <f t="shared" si="26"/>
        <v/>
      </c>
      <c r="E269" s="184" t="str">
        <f t="shared" si="26"/>
        <v/>
      </c>
      <c r="F269" s="184" t="str">
        <f t="shared" si="26"/>
        <v/>
      </c>
      <c r="G269" s="184" t="str">
        <f t="shared" si="26"/>
        <v/>
      </c>
      <c r="H269" s="184" t="str">
        <f t="shared" si="26"/>
        <v/>
      </c>
      <c r="I269" s="184" t="str">
        <f t="shared" si="26"/>
        <v/>
      </c>
      <c r="J269" s="184" t="str">
        <f t="shared" si="26"/>
        <v/>
      </c>
      <c r="K269" s="184" t="str">
        <f t="shared" si="26"/>
        <v/>
      </c>
      <c r="L269" s="184" t="str">
        <f t="shared" si="26"/>
        <v/>
      </c>
      <c r="M269" s="184" t="str">
        <f t="shared" si="26"/>
        <v/>
      </c>
      <c r="N269" s="184" t="str">
        <f t="shared" si="26"/>
        <v/>
      </c>
      <c r="O269" s="184" t="str">
        <f t="shared" si="26"/>
        <v/>
      </c>
      <c r="P269" s="184" t="str">
        <f t="shared" si="26"/>
        <v/>
      </c>
      <c r="Q269" s="184" t="str">
        <f t="shared" si="26"/>
        <v/>
      </c>
      <c r="R269" s="184" t="str">
        <f t="shared" si="26"/>
        <v/>
      </c>
      <c r="S269" s="184" t="str">
        <f t="shared" si="26"/>
        <v/>
      </c>
      <c r="T269" s="184" t="str">
        <f t="shared" si="26"/>
        <v/>
      </c>
      <c r="U269" s="184" t="str">
        <f t="shared" si="26"/>
        <v/>
      </c>
      <c r="V269" s="184" t="str">
        <f t="shared" si="26"/>
        <v/>
      </c>
      <c r="W269" s="184" t="str">
        <f t="shared" si="26"/>
        <v/>
      </c>
      <c r="X269" s="184" t="str">
        <f t="shared" si="26"/>
        <v/>
      </c>
      <c r="Y269" s="184" t="str">
        <f t="shared" si="26"/>
        <v/>
      </c>
      <c r="Z269" s="184" t="str">
        <f t="shared" si="26"/>
        <v/>
      </c>
      <c r="AA269" s="184" t="str">
        <f t="shared" si="26"/>
        <v/>
      </c>
      <c r="AB269" s="184" t="str">
        <f t="shared" si="26"/>
        <v/>
      </c>
      <c r="AC269" s="184" t="str">
        <f t="shared" si="26"/>
        <v/>
      </c>
      <c r="AD269" s="184" t="str">
        <f t="shared" si="26"/>
        <v/>
      </c>
      <c r="AE269" s="184" t="str">
        <f t="shared" si="26"/>
        <v/>
      </c>
      <c r="AF269" s="184" t="str">
        <f t="shared" si="26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27">IF(B237&lt;100,"",B237-330)</f>
        <v/>
      </c>
      <c r="C270" s="184" t="str">
        <f t="shared" si="27"/>
        <v/>
      </c>
      <c r="D270" s="184" t="str">
        <f t="shared" si="27"/>
        <v/>
      </c>
      <c r="E270" s="184" t="str">
        <f t="shared" si="27"/>
        <v/>
      </c>
      <c r="F270" s="184" t="str">
        <f t="shared" si="27"/>
        <v/>
      </c>
      <c r="G270" s="184" t="str">
        <f t="shared" si="27"/>
        <v/>
      </c>
      <c r="H270" s="184" t="str">
        <f t="shared" si="27"/>
        <v/>
      </c>
      <c r="I270" s="184" t="str">
        <f t="shared" si="27"/>
        <v/>
      </c>
      <c r="J270" s="184" t="str">
        <f t="shared" si="27"/>
        <v/>
      </c>
      <c r="K270" s="184" t="str">
        <f t="shared" si="27"/>
        <v/>
      </c>
      <c r="L270" s="184" t="str">
        <f t="shared" si="27"/>
        <v/>
      </c>
      <c r="M270" s="184" t="str">
        <f t="shared" si="27"/>
        <v/>
      </c>
      <c r="N270" s="184" t="str">
        <f t="shared" si="27"/>
        <v/>
      </c>
      <c r="O270" s="184" t="str">
        <f t="shared" si="27"/>
        <v/>
      </c>
      <c r="P270" s="184" t="str">
        <f t="shared" si="27"/>
        <v/>
      </c>
      <c r="Q270" s="184" t="str">
        <f t="shared" si="27"/>
        <v/>
      </c>
      <c r="R270" s="184" t="str">
        <f t="shared" si="27"/>
        <v/>
      </c>
      <c r="S270" s="184" t="str">
        <f t="shared" si="27"/>
        <v/>
      </c>
      <c r="T270" s="184" t="str">
        <f t="shared" si="27"/>
        <v/>
      </c>
      <c r="U270" s="184" t="str">
        <f t="shared" si="27"/>
        <v/>
      </c>
      <c r="V270" s="184" t="str">
        <f t="shared" si="27"/>
        <v/>
      </c>
      <c r="W270" s="184" t="str">
        <f t="shared" si="27"/>
        <v/>
      </c>
      <c r="X270" s="184" t="str">
        <f t="shared" si="27"/>
        <v/>
      </c>
      <c r="Y270" s="184" t="str">
        <f t="shared" si="27"/>
        <v/>
      </c>
      <c r="Z270" s="184" t="str">
        <f t="shared" si="27"/>
        <v/>
      </c>
      <c r="AA270" s="184" t="str">
        <f t="shared" si="27"/>
        <v/>
      </c>
      <c r="AB270" s="184" t="str">
        <f t="shared" si="27"/>
        <v/>
      </c>
      <c r="AC270" s="184" t="str">
        <f t="shared" si="27"/>
        <v/>
      </c>
      <c r="AD270" s="184" t="str">
        <f t="shared" si="27"/>
        <v/>
      </c>
      <c r="AE270" s="184" t="str">
        <f t="shared" si="27"/>
        <v/>
      </c>
      <c r="AF270" s="184" t="str">
        <f t="shared" si="27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28">IF(B238&lt;100,"",B238-1500)</f>
        <v/>
      </c>
      <c r="C271" s="184" t="str">
        <f t="shared" si="28"/>
        <v/>
      </c>
      <c r="D271" s="184" t="str">
        <f t="shared" si="28"/>
        <v/>
      </c>
      <c r="E271" s="184" t="str">
        <f t="shared" si="28"/>
        <v/>
      </c>
      <c r="F271" s="184" t="str">
        <f t="shared" si="28"/>
        <v/>
      </c>
      <c r="G271" s="184" t="str">
        <f t="shared" si="28"/>
        <v/>
      </c>
      <c r="H271" s="184" t="str">
        <f t="shared" si="28"/>
        <v/>
      </c>
      <c r="I271" s="184" t="str">
        <f t="shared" si="28"/>
        <v/>
      </c>
      <c r="J271" s="184" t="str">
        <f t="shared" si="28"/>
        <v/>
      </c>
      <c r="K271" s="184" t="str">
        <f t="shared" si="28"/>
        <v/>
      </c>
      <c r="L271" s="184" t="str">
        <f t="shared" si="28"/>
        <v/>
      </c>
      <c r="M271" s="184" t="str">
        <f t="shared" si="28"/>
        <v/>
      </c>
      <c r="N271" s="184" t="str">
        <f t="shared" si="28"/>
        <v/>
      </c>
      <c r="O271" s="184" t="str">
        <f t="shared" si="28"/>
        <v/>
      </c>
      <c r="P271" s="184" t="str">
        <f t="shared" si="28"/>
        <v/>
      </c>
      <c r="Q271" s="184" t="str">
        <f t="shared" si="28"/>
        <v/>
      </c>
      <c r="R271" s="184" t="str">
        <f t="shared" si="28"/>
        <v/>
      </c>
      <c r="S271" s="184" t="str">
        <f t="shared" si="28"/>
        <v/>
      </c>
      <c r="T271" s="184" t="str">
        <f t="shared" si="28"/>
        <v/>
      </c>
      <c r="U271" s="184" t="str">
        <f t="shared" si="28"/>
        <v/>
      </c>
      <c r="V271" s="184" t="str">
        <f t="shared" si="28"/>
        <v/>
      </c>
      <c r="W271" s="184" t="str">
        <f t="shared" si="28"/>
        <v/>
      </c>
      <c r="X271" s="184" t="str">
        <f t="shared" si="28"/>
        <v/>
      </c>
      <c r="Y271" s="184" t="str">
        <f t="shared" si="28"/>
        <v/>
      </c>
      <c r="Z271" s="184" t="str">
        <f t="shared" si="28"/>
        <v/>
      </c>
      <c r="AA271" s="184" t="str">
        <f t="shared" si="28"/>
        <v/>
      </c>
      <c r="AB271" s="184" t="str">
        <f t="shared" si="28"/>
        <v/>
      </c>
      <c r="AC271" s="184" t="str">
        <f t="shared" si="28"/>
        <v/>
      </c>
      <c r="AD271" s="184" t="str">
        <f t="shared" si="28"/>
        <v/>
      </c>
      <c r="AE271" s="184" t="str">
        <f t="shared" si="28"/>
        <v/>
      </c>
      <c r="AF271" s="184" t="str">
        <f t="shared" si="28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1446" priority="339">
      <formula>B$9&gt;=20/24</formula>
    </cfRule>
    <cfRule type="expression" dxfId="1445" priority="340">
      <formula>AND(B$9&gt;=14/24,B$9&lt;20/24)</formula>
    </cfRule>
    <cfRule type="expression" dxfId="1444" priority="341">
      <formula>AND(B$9&gt;=8/24,B$9&lt;14/24)</formula>
    </cfRule>
    <cfRule type="expression" dxfId="1443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442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1441" priority="336">
      <formula>$AH12=0</formula>
    </cfRule>
  </conditionalFormatting>
  <conditionalFormatting sqref="A114">
    <cfRule type="expression" dxfId="1440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439" priority="333">
      <formula>$AH45=0</formula>
    </cfRule>
  </conditionalFormatting>
  <conditionalFormatting sqref="A98">
    <cfRule type="expression" dxfId="1438" priority="332">
      <formula>$AH98=0</formula>
    </cfRule>
  </conditionalFormatting>
  <conditionalFormatting sqref="A18">
    <cfRule type="expression" dxfId="1437" priority="331">
      <formula>$AH18=0</formula>
    </cfRule>
  </conditionalFormatting>
  <conditionalFormatting sqref="A196:A201">
    <cfRule type="expression" dxfId="1436" priority="330">
      <formula>$AH196=0</formula>
    </cfRule>
  </conditionalFormatting>
  <conditionalFormatting sqref="A190:A195">
    <cfRule type="expression" dxfId="1435" priority="329">
      <formula>$AH190=0</formula>
    </cfRule>
  </conditionalFormatting>
  <conditionalFormatting sqref="A58">
    <cfRule type="expression" dxfId="1434" priority="328">
      <formula>$AH58=0</formula>
    </cfRule>
  </conditionalFormatting>
  <conditionalFormatting sqref="A94">
    <cfRule type="expression" dxfId="1433" priority="327">
      <formula>$AH94=0</formula>
    </cfRule>
  </conditionalFormatting>
  <conditionalFormatting sqref="AE99:AF99 E99:X99">
    <cfRule type="expression" dxfId="1432" priority="323">
      <formula>E$9&gt;=20/24</formula>
    </cfRule>
    <cfRule type="expression" dxfId="1431" priority="324">
      <formula>AND(E$9&gt;=14/24,E$9&lt;20/24)</formula>
    </cfRule>
    <cfRule type="expression" dxfId="1430" priority="325">
      <formula>AND(E$9&gt;=8/24,E$9&lt;14/24)</formula>
    </cfRule>
    <cfRule type="expression" dxfId="1429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428" priority="345">
      <formula>C$9&gt;=20/24</formula>
    </cfRule>
    <cfRule type="expression" dxfId="1427" priority="346">
      <formula>AND(C$9&gt;=14/24,C$9&lt;20/24)</formula>
    </cfRule>
    <cfRule type="expression" dxfId="1426" priority="347">
      <formula>AND(C$9&gt;=8/24,C$9&lt;14/24)</formula>
    </cfRule>
    <cfRule type="expression" dxfId="1425" priority="348">
      <formula>C$9&lt;8/24</formula>
    </cfRule>
  </conditionalFormatting>
  <conditionalFormatting sqref="A233">
    <cfRule type="expression" dxfId="1424" priority="349">
      <formula>$AH233=0</formula>
    </cfRule>
  </conditionalFormatting>
  <conditionalFormatting sqref="AG245">
    <cfRule type="expression" dxfId="1423" priority="350">
      <formula>B$9&gt;=20/24</formula>
    </cfRule>
    <cfRule type="expression" dxfId="1422" priority="351">
      <formula>AND(B$9&gt;=14/24,B$9&lt;20/24)</formula>
    </cfRule>
    <cfRule type="expression" dxfId="1421" priority="352">
      <formula>AND(B$9&gt;=8/24,B$9&lt;14/24)</formula>
    </cfRule>
    <cfRule type="expression" dxfId="1420" priority="353">
      <formula>B$9&lt;8/24</formula>
    </cfRule>
  </conditionalFormatting>
  <conditionalFormatting sqref="S8">
    <cfRule type="expression" dxfId="1419" priority="318">
      <formula>U$9&gt;=20/24</formula>
    </cfRule>
    <cfRule type="expression" dxfId="1418" priority="319">
      <formula>AND(U$9&gt;=14/24,U$9&lt;20/24)</formula>
    </cfRule>
    <cfRule type="expression" dxfId="1417" priority="320">
      <formula>AND(U$9&gt;=8/24,U$9&lt;14/24)</formula>
    </cfRule>
    <cfRule type="expression" dxfId="1416" priority="321">
      <formula>U$9&lt;8/24</formula>
    </cfRule>
  </conditionalFormatting>
  <conditionalFormatting sqref="AB8">
    <cfRule type="expression" dxfId="1415" priority="314">
      <formula>AD$9&gt;=20/24</formula>
    </cfRule>
    <cfRule type="expression" dxfId="1414" priority="315">
      <formula>AND(AD$9&gt;=14/24,AD$9&lt;20/24)</formula>
    </cfRule>
    <cfRule type="expression" dxfId="1413" priority="316">
      <formula>AND(AD$9&gt;=8/24,AD$9&lt;14/24)</formula>
    </cfRule>
    <cfRule type="expression" dxfId="1412" priority="317">
      <formula>AD$9&lt;8/24</formula>
    </cfRule>
  </conditionalFormatting>
  <conditionalFormatting sqref="AH245:AX245">
    <cfRule type="expression" dxfId="1411" priority="354">
      <formula>AG$9&gt;=20/24</formula>
    </cfRule>
    <cfRule type="expression" dxfId="1410" priority="355">
      <formula>AND(AG$9&gt;=14/24,AG$9&lt;20/24)</formula>
    </cfRule>
    <cfRule type="expression" dxfId="1409" priority="356">
      <formula>AND(AG$9&gt;=8/24,AG$9&lt;14/24)</formula>
    </cfRule>
    <cfRule type="expression" dxfId="1408" priority="357">
      <formula>AG$9&lt;8/24</formula>
    </cfRule>
  </conditionalFormatting>
  <conditionalFormatting sqref="T245">
    <cfRule type="expression" dxfId="1407" priority="358">
      <formula>AX$9&gt;=20/24</formula>
    </cfRule>
    <cfRule type="expression" dxfId="1406" priority="359">
      <formula>AND(AX$9&gt;=14/24,AX$9&lt;20/24)</formula>
    </cfRule>
    <cfRule type="expression" dxfId="1405" priority="360">
      <formula>AND(AX$9&gt;=8/24,AX$9&lt;14/24)</formula>
    </cfRule>
    <cfRule type="expression" dxfId="1404" priority="361">
      <formula>AX$9&lt;8/24</formula>
    </cfRule>
  </conditionalFormatting>
  <conditionalFormatting sqref="A115:A116">
    <cfRule type="expression" dxfId="1403" priority="313">
      <formula>$AH115=0</formula>
    </cfRule>
  </conditionalFormatting>
  <conditionalFormatting sqref="M54:Q55 N58:O58 M56:O57 P56:Q58 AB54:AF57 E71:AF71">
    <cfRule type="expression" dxfId="1402" priority="309">
      <formula>E$9&gt;=20/24</formula>
    </cfRule>
    <cfRule type="expression" dxfId="1401" priority="310">
      <formula>AND(E$9&gt;=14/24,E$9&lt;20/24)</formula>
    </cfRule>
    <cfRule type="expression" dxfId="1400" priority="311">
      <formula>AND(E$9&gt;=8/24,E$9&lt;14/24)</formula>
    </cfRule>
    <cfRule type="expression" dxfId="1399" priority="312">
      <formula>E$9&lt;8/24</formula>
    </cfRule>
  </conditionalFormatting>
  <conditionalFormatting sqref="M53:Q53 AB53:AF53">
    <cfRule type="expression" dxfId="1398" priority="305">
      <formula>M$9&gt;=20/24</formula>
    </cfRule>
    <cfRule type="expression" dxfId="1397" priority="306">
      <formula>AND(M$9&gt;=14/24,M$9&lt;20/24)</formula>
    </cfRule>
    <cfRule type="expression" dxfId="1396" priority="307">
      <formula>AND(M$9&gt;=8/24,M$9&lt;14/24)</formula>
    </cfRule>
    <cfRule type="expression" dxfId="1395" priority="308">
      <formula>M$9&lt;8/24</formula>
    </cfRule>
  </conditionalFormatting>
  <conditionalFormatting sqref="M53:Q55 N58:O58 M56:O57 P56:Q58 AB53:AF57">
    <cfRule type="expression" dxfId="1394" priority="304">
      <formula>M53&gt;$AG53</formula>
    </cfRule>
  </conditionalFormatting>
  <conditionalFormatting sqref="D86:AF86 M100:X106 X96:AF96 AE100:AF106 Y105:Y106 X47:AF47 E72:AD73 Y74:AD74 X67:AF69 AE72:AF74">
    <cfRule type="expression" dxfId="1393" priority="300">
      <formula>D$9&gt;=20/24</formula>
    </cfRule>
    <cfRule type="expression" dxfId="1392" priority="301">
      <formula>AND(D$9&gt;=14/24,D$9&lt;20/24)</formula>
    </cfRule>
    <cfRule type="expression" dxfId="1391" priority="302">
      <formula>AND(D$9&gt;=8/24,D$9&lt;14/24)</formula>
    </cfRule>
    <cfRule type="expression" dxfId="1390" priority="303">
      <formula>D$9&lt;8/24</formula>
    </cfRule>
  </conditionalFormatting>
  <conditionalFormatting sqref="X47:AF47 X67:AF69">
    <cfRule type="expression" dxfId="1389" priority="299">
      <formula>X47&gt;$AG47</formula>
    </cfRule>
  </conditionalFormatting>
  <conditionalFormatting sqref="R53:AA58">
    <cfRule type="expression" dxfId="1388" priority="295">
      <formula>R$9&gt;=20/24</formula>
    </cfRule>
    <cfRule type="expression" dxfId="1387" priority="296">
      <formula>AND(R$9&gt;=14/24,R$9&lt;20/24)</formula>
    </cfRule>
    <cfRule type="expression" dxfId="1386" priority="297">
      <formula>AND(R$9&gt;=8/24,R$9&lt;14/24)</formula>
    </cfRule>
    <cfRule type="expression" dxfId="1385" priority="298">
      <formula>R$9&lt;8/24</formula>
    </cfRule>
  </conditionalFormatting>
  <conditionalFormatting sqref="R53:AA58">
    <cfRule type="expression" dxfId="1384" priority="294">
      <formula>R53&gt;$AG53</formula>
    </cfRule>
  </conditionalFormatting>
  <conditionalFormatting sqref="C97:AF97 D88:AF88">
    <cfRule type="expression" dxfId="1383" priority="290">
      <formula>C$9&gt;=20/24</formula>
    </cfRule>
    <cfRule type="expression" dxfId="1382" priority="291">
      <formula>AND(C$9&gt;=14/24,C$9&lt;20/24)</formula>
    </cfRule>
    <cfRule type="expression" dxfId="1381" priority="292">
      <formula>AND(C$9&gt;=8/24,C$9&lt;14/24)</formula>
    </cfRule>
    <cfRule type="expression" dxfId="1380" priority="293">
      <formula>C$9&lt;8/24</formula>
    </cfRule>
  </conditionalFormatting>
  <conditionalFormatting sqref="U47:W47">
    <cfRule type="expression" dxfId="1379" priority="286">
      <formula>U$9&gt;=20/24</formula>
    </cfRule>
    <cfRule type="expression" dxfId="1378" priority="287">
      <formula>AND(U$9&gt;=14/24,U$9&lt;20/24)</formula>
    </cfRule>
    <cfRule type="expression" dxfId="1377" priority="288">
      <formula>AND(U$9&gt;=8/24,U$9&lt;14/24)</formula>
    </cfRule>
    <cfRule type="expression" dxfId="1376" priority="289">
      <formula>U$9&lt;8/24</formula>
    </cfRule>
  </conditionalFormatting>
  <conditionalFormatting sqref="U47:W47">
    <cfRule type="expression" dxfId="1375" priority="285">
      <formula>U47&gt;$AG47</formula>
    </cfRule>
  </conditionalFormatting>
  <conditionalFormatting sqref="E54:L55">
    <cfRule type="expression" dxfId="1374" priority="281">
      <formula>E$9&gt;=20/24</formula>
    </cfRule>
    <cfRule type="expression" dxfId="1373" priority="282">
      <formula>AND(E$9&gt;=14/24,E$9&lt;20/24)</formula>
    </cfRule>
    <cfRule type="expression" dxfId="1372" priority="283">
      <formula>AND(E$9&gt;=8/24,E$9&lt;14/24)</formula>
    </cfRule>
    <cfRule type="expression" dxfId="1371" priority="284">
      <formula>E$9&lt;8/24</formula>
    </cfRule>
  </conditionalFormatting>
  <conditionalFormatting sqref="E53:L53">
    <cfRule type="expression" dxfId="1370" priority="277">
      <formula>E$9&gt;=20/24</formula>
    </cfRule>
    <cfRule type="expression" dxfId="1369" priority="278">
      <formula>AND(E$9&gt;=14/24,E$9&lt;20/24)</formula>
    </cfRule>
    <cfRule type="expression" dxfId="1368" priority="279">
      <formula>AND(E$9&gt;=8/24,E$9&lt;14/24)</formula>
    </cfRule>
    <cfRule type="expression" dxfId="1367" priority="280">
      <formula>E$9&lt;8/24</formula>
    </cfRule>
  </conditionalFormatting>
  <conditionalFormatting sqref="E53:L55">
    <cfRule type="expression" dxfId="1366" priority="276">
      <formula>E53&gt;$AG53</formula>
    </cfRule>
  </conditionalFormatting>
  <conditionalFormatting sqref="AG70 AG87 Q67:W69 E100:L106">
    <cfRule type="expression" dxfId="1365" priority="272">
      <formula>E$9&gt;=20/24</formula>
    </cfRule>
    <cfRule type="expression" dxfId="1364" priority="273">
      <formula>AND(E$9&gt;=14/24,E$9&lt;20/24)</formula>
    </cfRule>
    <cfRule type="expression" dxfId="1363" priority="274">
      <formula>AND(E$9&gt;=8/24,E$9&lt;14/24)</formula>
    </cfRule>
    <cfRule type="expression" dxfId="1362" priority="275">
      <formula>E$9&lt;8/24</formula>
    </cfRule>
  </conditionalFormatting>
  <conditionalFormatting sqref="AG48 AG66 AG70 Q67:W69">
    <cfRule type="expression" dxfId="1361" priority="271">
      <formula>Q48&gt;$AG48</formula>
    </cfRule>
  </conditionalFormatting>
  <conditionalFormatting sqref="AB58:AF58">
    <cfRule type="expression" dxfId="1360" priority="267">
      <formula>AB$9&gt;=20/24</formula>
    </cfRule>
    <cfRule type="expression" dxfId="1359" priority="268">
      <formula>AND(AB$9&gt;=14/24,AB$9&lt;20/24)</formula>
    </cfRule>
    <cfRule type="expression" dxfId="1358" priority="269">
      <formula>AND(AB$9&gt;=8/24,AB$9&lt;14/24)</formula>
    </cfRule>
    <cfRule type="expression" dxfId="1357" priority="270">
      <formula>AB$9&lt;8/24</formula>
    </cfRule>
  </conditionalFormatting>
  <conditionalFormatting sqref="AB58:AF58">
    <cfRule type="expression" dxfId="1356" priority="266">
      <formula>AB58&gt;$AG58</formula>
    </cfRule>
  </conditionalFormatting>
  <conditionalFormatting sqref="A43">
    <cfRule type="expression" dxfId="1355" priority="265">
      <formula>$AH43=0</formula>
    </cfRule>
  </conditionalFormatting>
  <conditionalFormatting sqref="X91:AF95">
    <cfRule type="expression" dxfId="1354" priority="261">
      <formula>X$9&gt;=20/24</formula>
    </cfRule>
    <cfRule type="expression" dxfId="1353" priority="262">
      <formula>AND(X$9&gt;=14/24,X$9&lt;20/24)</formula>
    </cfRule>
    <cfRule type="expression" dxfId="1352" priority="263">
      <formula>AND(X$9&gt;=8/24,X$9&lt;14/24)</formula>
    </cfRule>
    <cfRule type="expression" dxfId="1351" priority="264">
      <formula>X$9&lt;8/24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F49:G49 F51:G51 H49:AF51">
    <cfRule type="expression" dxfId="1350" priority="257">
      <formula>F$9&gt;=20/24</formula>
    </cfRule>
    <cfRule type="expression" dxfId="1349" priority="258">
      <formula>AND(F$9&gt;=14/24,F$9&lt;20/24)</formula>
    </cfRule>
    <cfRule type="expression" dxfId="1348" priority="259">
      <formula>AND(F$9&gt;=8/24,F$9&lt;14/24)</formula>
    </cfRule>
    <cfRule type="expression" dxfId="1347" priority="260">
      <formula>F$9&lt;8/24</formula>
    </cfRule>
  </conditionalFormatting>
  <conditionalFormatting sqref="F49:G49 F51:G51 H49:AF51">
    <cfRule type="expression" dxfId="1346" priority="256">
      <formula>F49&gt;$AG49</formula>
    </cfRule>
  </conditionalFormatting>
  <conditionalFormatting sqref="AG52">
    <cfRule type="expression" dxfId="1345" priority="252">
      <formula>AG$9&gt;=20/24</formula>
    </cfRule>
    <cfRule type="expression" dxfId="1344" priority="253">
      <formula>AND(AG$9&gt;=14/24,AG$9&lt;20/24)</formula>
    </cfRule>
    <cfRule type="expression" dxfId="1343" priority="254">
      <formula>AND(AG$9&gt;=8/24,AG$9&lt;14/24)</formula>
    </cfRule>
    <cfRule type="expression" dxfId="1342" priority="255">
      <formula>AG$9&lt;8/24</formula>
    </cfRule>
  </conditionalFormatting>
  <conditionalFormatting sqref="AG52">
    <cfRule type="expression" dxfId="1341" priority="251">
      <formula>AG52&gt;$AG52</formula>
    </cfRule>
  </conditionalFormatting>
  <conditionalFormatting sqref="C107:AF107">
    <cfRule type="expression" dxfId="1340" priority="247">
      <formula>C$9&gt;=20/24</formula>
    </cfRule>
    <cfRule type="expression" dxfId="1339" priority="248">
      <formula>AND(C$9&gt;=14/24,C$9&lt;20/24)</formula>
    </cfRule>
    <cfRule type="expression" dxfId="1338" priority="249">
      <formula>AND(C$9&gt;=8/24,C$9&lt;14/24)</formula>
    </cfRule>
    <cfRule type="expression" dxfId="1337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1336" priority="245">
      <formula>$AH40=0</formula>
    </cfRule>
  </conditionalFormatting>
  <conditionalFormatting sqref="A90">
    <cfRule type="expression" dxfId="1335" priority="243">
      <formula>$AH90=0</formula>
    </cfRule>
  </conditionalFormatting>
  <conditionalFormatting sqref="A87">
    <cfRule type="expression" dxfId="1334" priority="244">
      <formula>$AH87=0</formula>
    </cfRule>
  </conditionalFormatting>
  <conditionalFormatting sqref="D110:AF110">
    <cfRule type="expression" dxfId="1333" priority="239">
      <formula>D$9&gt;=20/24</formula>
    </cfRule>
    <cfRule type="expression" dxfId="1332" priority="240">
      <formula>AND(D$9&gt;=14/24,D$9&lt;20/24)</formula>
    </cfRule>
    <cfRule type="expression" dxfId="1331" priority="241">
      <formula>AND(D$9&gt;=8/24,D$9&lt;14/24)</formula>
    </cfRule>
    <cfRule type="expression" dxfId="1330" priority="242">
      <formula>D$9&lt;8/24</formula>
    </cfRule>
  </conditionalFormatting>
  <conditionalFormatting sqref="A110">
    <cfRule type="expression" dxfId="1329" priority="238">
      <formula>$AH110=0</formula>
    </cfRule>
  </conditionalFormatting>
  <conditionalFormatting sqref="A21">
    <cfRule type="expression" dxfId="1328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327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D99">
    <cfRule type="expression" dxfId="1326" priority="230">
      <formula>Y$9&gt;=20/24</formula>
    </cfRule>
    <cfRule type="expression" dxfId="1325" priority="231">
      <formula>AND(Y$9&gt;=14/24,Y$9&lt;20/24)</formula>
    </cfRule>
    <cfRule type="expression" dxfId="1324" priority="232">
      <formula>AND(Y$9&gt;=8/24,Y$9&lt;14/24)</formula>
    </cfRule>
    <cfRule type="expression" dxfId="1323" priority="233">
      <formula>Y$9&lt;8/24</formula>
    </cfRule>
  </conditionalFormatting>
  <conditionalFormatting sqref="Y100:AD104 Z105:AD106">
    <cfRule type="expression" dxfId="1322" priority="226">
      <formula>Y$9&gt;=20/24</formula>
    </cfRule>
    <cfRule type="expression" dxfId="1321" priority="227">
      <formula>AND(Y$9&gt;=14/24,Y$9&lt;20/24)</formula>
    </cfRule>
    <cfRule type="expression" dxfId="1320" priority="228">
      <formula>AND(Y$9&gt;=8/24,Y$9&lt;14/24)</formula>
    </cfRule>
    <cfRule type="expression" dxfId="1319" priority="229">
      <formula>Y$9&lt;8/24</formula>
    </cfRule>
  </conditionalFormatting>
  <conditionalFormatting sqref="C109 C111:C116 I17:P18 Q34:Z34 Q17:Z23 Q25:Z26 Q28:Z32 AA17:AF32 AA34:AF43">
    <cfRule type="expression" dxfId="1318" priority="222">
      <formula>C$9&gt;=20/24</formula>
    </cfRule>
    <cfRule type="expression" dxfId="1317" priority="223">
      <formula>AND(C$9&gt;=14/24,C$9&lt;20/24)</formula>
    </cfRule>
    <cfRule type="expression" dxfId="1316" priority="224">
      <formula>AND(C$9&gt;=8/24,C$9&lt;14/24)</formula>
    </cfRule>
    <cfRule type="expression" dxfId="1315" priority="225">
      <formula>C$9&lt;8/24</formula>
    </cfRule>
  </conditionalFormatting>
  <conditionalFormatting sqref="C47:T47">
    <cfRule type="expression" dxfId="1314" priority="218">
      <formula>C$9&gt;=20/24</formula>
    </cfRule>
    <cfRule type="expression" dxfId="1313" priority="219">
      <formula>AND(C$9&gt;=14/24,C$9&lt;20/24)</formula>
    </cfRule>
    <cfRule type="expression" dxfId="1312" priority="220">
      <formula>AND(C$9&gt;=8/24,C$9&lt;14/24)</formula>
    </cfRule>
    <cfRule type="expression" dxfId="1311" priority="221">
      <formula>C$9&lt;8/24</formula>
    </cfRule>
  </conditionalFormatting>
  <conditionalFormatting sqref="I17:P18 C47:T47 Q34:Z34 Q17:Z23 Q25:Z26 Q28:Z32 AA17:AF32 AA34:AF43">
    <cfRule type="expression" dxfId="1310" priority="217">
      <formula>C17&gt;$AG17</formula>
    </cfRule>
  </conditionalFormatting>
  <conditionalFormatting sqref="C99:D99">
    <cfRule type="expression" dxfId="1309" priority="213">
      <formula>C$9&gt;=20/24</formula>
    </cfRule>
    <cfRule type="expression" dxfId="1308" priority="214">
      <formula>AND(C$9&gt;=14/24,C$9&lt;20/24)</formula>
    </cfRule>
    <cfRule type="expression" dxfId="1307" priority="215">
      <formula>AND(C$9&gt;=8/24,C$9&lt;14/24)</formula>
    </cfRule>
    <cfRule type="expression" dxfId="1306" priority="216">
      <formula>C$9&lt;8/24</formula>
    </cfRule>
  </conditionalFormatting>
  <conditionalFormatting sqref="C86 C96:W96 C83:AF85 D100:D106 E67:P69 E74:X76 Y75:AF76">
    <cfRule type="expression" dxfId="1305" priority="209">
      <formula>C$9&gt;=20/24</formula>
    </cfRule>
    <cfRule type="expression" dxfId="1304" priority="210">
      <formula>AND(C$9&gt;=14/24,C$9&lt;20/24)</formula>
    </cfRule>
    <cfRule type="expression" dxfId="1303" priority="211">
      <formula>AND(C$9&gt;=8/24,C$9&lt;14/24)</formula>
    </cfRule>
    <cfRule type="expression" dxfId="1302" priority="212">
      <formula>C$9&lt;8/24</formula>
    </cfRule>
  </conditionalFormatting>
  <conditionalFormatting sqref="E56:L57 E67:P69">
    <cfRule type="expression" dxfId="1301" priority="208">
      <formula>E56&gt;$AG56</formula>
    </cfRule>
  </conditionalFormatting>
  <conditionalFormatting sqref="E58:M58">
    <cfRule type="expression" dxfId="1300" priority="204">
      <formula>E$9&gt;=20/24</formula>
    </cfRule>
    <cfRule type="expression" dxfId="1299" priority="205">
      <formula>AND(E$9&gt;=14/24,E$9&lt;20/24)</formula>
    </cfRule>
    <cfRule type="expression" dxfId="1298" priority="206">
      <formula>AND(E$9&gt;=8/24,E$9&lt;14/24)</formula>
    </cfRule>
    <cfRule type="expression" dxfId="1297" priority="207">
      <formula>E$9&lt;8/24</formula>
    </cfRule>
  </conditionalFormatting>
  <conditionalFormatting sqref="E58:M58">
    <cfRule type="expression" dxfId="1296" priority="203">
      <formula>E58&gt;$AG58</formula>
    </cfRule>
  </conditionalFormatting>
  <conditionalFormatting sqref="B54:D57 B71:D71">
    <cfRule type="expression" dxfId="1295" priority="132">
      <formula>B$9&gt;=20/24</formula>
    </cfRule>
    <cfRule type="expression" dxfId="1294" priority="133">
      <formula>AND(B$9&gt;=14/24,B$9&lt;20/24)</formula>
    </cfRule>
    <cfRule type="expression" dxfId="1293" priority="134">
      <formula>AND(B$9&gt;=8/24,B$9&lt;14/24)</formula>
    </cfRule>
    <cfRule type="expression" dxfId="1292" priority="135">
      <formula>B$9&lt;8/24</formula>
    </cfRule>
  </conditionalFormatting>
  <conditionalFormatting sqref="C87:AF87 C89:AF89 C98:AF98 C70:AF70">
    <cfRule type="expression" dxfId="1291" priority="199">
      <formula>C$9&gt;=20/24</formula>
    </cfRule>
    <cfRule type="expression" dxfId="1290" priority="200">
      <formula>AND(C$9&gt;=14/24,C$9&lt;20/24)</formula>
    </cfRule>
    <cfRule type="expression" dxfId="1289" priority="201">
      <formula>AND(C$9&gt;=8/24,C$9&lt;14/24)</formula>
    </cfRule>
    <cfRule type="expression" dxfId="1288" priority="202">
      <formula>C$9&lt;8/24</formula>
    </cfRule>
  </conditionalFormatting>
  <conditionalFormatting sqref="C70:AF70 C65:AF66">
    <cfRule type="expression" dxfId="1287" priority="198">
      <formula>C65&gt;$AG65</formula>
    </cfRule>
  </conditionalFormatting>
  <conditionalFormatting sqref="C82:AF82">
    <cfRule type="expression" dxfId="1286" priority="194">
      <formula>C$9&gt;=20/24</formula>
    </cfRule>
    <cfRule type="expression" dxfId="1285" priority="195">
      <formula>AND(C$9&gt;=14/24,C$9&lt;20/24)</formula>
    </cfRule>
    <cfRule type="expression" dxfId="1284" priority="196">
      <formula>AND(C$9&gt;=8/24,C$9&lt;14/24)</formula>
    </cfRule>
    <cfRule type="expression" dxfId="1283" priority="197">
      <formula>C$9&lt;8/24</formula>
    </cfRule>
  </conditionalFormatting>
  <conditionalFormatting sqref="C91:W95">
    <cfRule type="expression" dxfId="1282" priority="190">
      <formula>C$9&gt;=20/24</formula>
    </cfRule>
    <cfRule type="expression" dxfId="1281" priority="191">
      <formula>AND(C$9&gt;=14/24,C$9&lt;20/24)</formula>
    </cfRule>
    <cfRule type="expression" dxfId="1280" priority="192">
      <formula>AND(C$9&gt;=8/24,C$9&lt;14/24)</formula>
    </cfRule>
    <cfRule type="expression" dxfId="1279" priority="193">
      <formula>C$9&lt;8/24</formula>
    </cfRule>
  </conditionalFormatting>
  <conditionalFormatting sqref="C52:AF52">
    <cfRule type="expression" dxfId="1278" priority="186">
      <formula>C$9&gt;=20/24</formula>
    </cfRule>
    <cfRule type="expression" dxfId="1277" priority="187">
      <formula>AND(C$9&gt;=14/24,C$9&lt;20/24)</formula>
    </cfRule>
    <cfRule type="expression" dxfId="1276" priority="188">
      <formula>AND(C$9&gt;=8/24,C$9&lt;14/24)</formula>
    </cfRule>
    <cfRule type="expression" dxfId="1275" priority="189">
      <formula>C$9&lt;8/24</formula>
    </cfRule>
  </conditionalFormatting>
  <conditionalFormatting sqref="C52:AF52">
    <cfRule type="expression" dxfId="1274" priority="185">
      <formula>C52&gt;$AG52</formula>
    </cfRule>
  </conditionalFormatting>
  <conditionalFormatting sqref="B49:E49 B51:E51 B50:G50">
    <cfRule type="expression" dxfId="1273" priority="100">
      <formula>B$9&gt;=20/24</formula>
    </cfRule>
    <cfRule type="expression" dxfId="1272" priority="101">
      <formula>AND(B$9&gt;=14/24,B$9&lt;20/24)</formula>
    </cfRule>
    <cfRule type="expression" dxfId="1271" priority="102">
      <formula>AND(B$9&gt;=8/24,B$9&lt;14/24)</formula>
    </cfRule>
    <cfRule type="expression" dxfId="1270" priority="103">
      <formula>B$9&lt;8/24</formula>
    </cfRule>
  </conditionalFormatting>
  <conditionalFormatting sqref="C110">
    <cfRule type="expression" dxfId="1269" priority="177">
      <formula>C$9&gt;=20/24</formula>
    </cfRule>
    <cfRule type="expression" dxfId="1268" priority="178">
      <formula>AND(C$9&gt;=14/24,C$9&lt;20/24)</formula>
    </cfRule>
    <cfRule type="expression" dxfId="1267" priority="179">
      <formula>AND(C$9&gt;=8/24,C$9&lt;14/24)</formula>
    </cfRule>
    <cfRule type="expression" dxfId="1266" priority="180">
      <formula>C$9&lt;8/24</formula>
    </cfRule>
  </conditionalFormatting>
  <conditionalFormatting sqref="E60:J64 K59:AF64">
    <cfRule type="expression" dxfId="1265" priority="173">
      <formula>E$9&gt;=20/24</formula>
    </cfRule>
    <cfRule type="expression" dxfId="1264" priority="174">
      <formula>AND(E$9&gt;=14/24,E$9&lt;20/24)</formula>
    </cfRule>
    <cfRule type="expression" dxfId="1263" priority="175">
      <formula>AND(E$9&gt;=8/24,E$9&lt;14/24)</formula>
    </cfRule>
    <cfRule type="expression" dxfId="1262" priority="176">
      <formula>E$9&lt;8/24</formula>
    </cfRule>
  </conditionalFormatting>
  <conditionalFormatting sqref="E60:J64 K59:AF64">
    <cfRule type="expression" dxfId="1261" priority="172">
      <formula>E59&gt;$AG59</formula>
    </cfRule>
  </conditionalFormatting>
  <conditionalFormatting sqref="E15:G15 H13:AF15 AA45:AF45">
    <cfRule type="expression" dxfId="1260" priority="171">
      <formula>E13&gt;$AG13</formula>
    </cfRule>
  </conditionalFormatting>
  <conditionalFormatting sqref="H12:AF12">
    <cfRule type="expression" dxfId="1259" priority="167">
      <formula>H$9&gt;=20/24</formula>
    </cfRule>
    <cfRule type="expression" dxfId="1258" priority="168">
      <formula>AND(H$9&gt;=14/24,H$9&lt;20/24)</formula>
    </cfRule>
    <cfRule type="expression" dxfId="1257" priority="169">
      <formula>AND(H$9&gt;=8/24,H$9&lt;14/24)</formula>
    </cfRule>
    <cfRule type="expression" dxfId="1256" priority="170">
      <formula>H$9&lt;8/24</formula>
    </cfRule>
  </conditionalFormatting>
  <conditionalFormatting sqref="H12:AF12">
    <cfRule type="expression" dxfId="1255" priority="166">
      <formula>H12&gt;$AG12</formula>
    </cfRule>
  </conditionalFormatting>
  <conditionalFormatting sqref="E15:G15 H13:AF15">
    <cfRule type="expression" dxfId="1254" priority="162">
      <formula>E$9&gt;=20/24</formula>
    </cfRule>
    <cfRule type="expression" dxfId="1253" priority="163">
      <formula>AND(E$9&gt;=14/24,E$9&lt;20/24)</formula>
    </cfRule>
    <cfRule type="expression" dxfId="1252" priority="164">
      <formula>AND(E$9&gt;=8/24,E$9&lt;14/24)</formula>
    </cfRule>
    <cfRule type="expression" dxfId="1251" priority="165">
      <formula>E$9&lt;8/24</formula>
    </cfRule>
  </conditionalFormatting>
  <conditionalFormatting sqref="AA45:AF45">
    <cfRule type="expression" dxfId="1250" priority="158">
      <formula>AA$9&gt;=20/24</formula>
    </cfRule>
    <cfRule type="expression" dxfId="1249" priority="159">
      <formula>AND(AA$9&gt;=14/24,AA$9&lt;20/24)</formula>
    </cfRule>
    <cfRule type="expression" dxfId="1248" priority="160">
      <formula>AND(AA$9&gt;=8/24,AA$9&lt;14/24)</formula>
    </cfRule>
    <cfRule type="expression" dxfId="1247" priority="161">
      <formula>AA$9&lt;8/24</formula>
    </cfRule>
  </conditionalFormatting>
  <conditionalFormatting sqref="E77:AF81">
    <cfRule type="expression" dxfId="1246" priority="154">
      <formula>E$9&gt;=20/24</formula>
    </cfRule>
    <cfRule type="expression" dxfId="1245" priority="155">
      <formula>AND(E$9&gt;=14/24,E$9&lt;20/24)</formula>
    </cfRule>
    <cfRule type="expression" dxfId="1244" priority="156">
      <formula>AND(E$9&gt;=8/24,E$9&lt;14/24)</formula>
    </cfRule>
    <cfRule type="expression" dxfId="1243" priority="157">
      <formula>E$9&lt;8/24</formula>
    </cfRule>
  </conditionalFormatting>
  <conditionalFormatting sqref="AL78:AN78 AL84:AN84 AN79:AN80">
    <cfRule type="expression" dxfId="1242" priority="150">
      <formula>AL$9&gt;=20/24</formula>
    </cfRule>
    <cfRule type="expression" dxfId="1241" priority="151">
      <formula>AND(AL$9&gt;=14/24,AL$9&lt;20/24)</formula>
    </cfRule>
    <cfRule type="expression" dxfId="1240" priority="152">
      <formula>AND(AL$9&gt;=8/24,AL$9&lt;14/24)</formula>
    </cfRule>
    <cfRule type="expression" dxfId="1239" priority="153">
      <formula>AL$9&lt;8/24</formula>
    </cfRule>
  </conditionalFormatting>
  <conditionalFormatting sqref="AN81:AN82">
    <cfRule type="expression" dxfId="1238" priority="146">
      <formula>AN$9&gt;=20/24</formula>
    </cfRule>
    <cfRule type="expression" dxfId="1237" priority="147">
      <formula>AND(AN$9&gt;=14/24,AN$9&lt;20/24)</formula>
    </cfRule>
    <cfRule type="expression" dxfId="1236" priority="148">
      <formula>AND(AN$9&gt;=8/24,AN$9&lt;14/24)</formula>
    </cfRule>
    <cfRule type="expression" dxfId="1235" priority="149">
      <formula>AN$9&lt;8/24</formula>
    </cfRule>
  </conditionalFormatting>
  <conditionalFormatting sqref="AL79:AM83">
    <cfRule type="expression" dxfId="1234" priority="363">
      <formula>AJ$9&gt;=20/24</formula>
    </cfRule>
    <cfRule type="expression" dxfId="1233" priority="364">
      <formula>AND(AJ$9&gt;=14/24,AJ$9&lt;20/24)</formula>
    </cfRule>
    <cfRule type="expression" dxfId="1232" priority="365">
      <formula>AND(AJ$9&gt;=8/24,AJ$9&lt;14/24)</formula>
    </cfRule>
    <cfRule type="expression" dxfId="1231" priority="366">
      <formula>AJ$9&lt;8/24</formula>
    </cfRule>
  </conditionalFormatting>
  <conditionalFormatting sqref="A117">
    <cfRule type="expression" dxfId="1230" priority="145">
      <formula>$AH117=0</formula>
    </cfRule>
  </conditionalFormatting>
  <conditionalFormatting sqref="B109 B111:B116 B12:G14 B15:D15 B17:H32 B34:P42 I19:P23 Q35:Q42 B43:Q43 I28:P32 I25:P26 B45:Z45 R35:Z43 I24:Z24 I27:Z27">
    <cfRule type="expression" dxfId="1229" priority="141">
      <formula>B$9&gt;=20/24</formula>
    </cfRule>
    <cfRule type="expression" dxfId="1228" priority="142">
      <formula>AND(B$9&gt;=14/24,B$9&lt;20/24)</formula>
    </cfRule>
    <cfRule type="expression" dxfId="1227" priority="143">
      <formula>AND(B$9&gt;=8/24,B$9&lt;14/24)</formula>
    </cfRule>
    <cfRule type="expression" dxfId="1226" priority="144">
      <formula>B$9&lt;8/24</formula>
    </cfRule>
  </conditionalFormatting>
  <conditionalFormatting sqref="B12:G14 B15:D15 B17:H32 B34:P42 I19:P23 Q35:Q42 B43:Q43 I28:P32 I25:P26 B45:Z45 R35:Z43 I24:Z24 I27:Z27">
    <cfRule type="expression" dxfId="1225" priority="140">
      <formula>B12&gt;$AG12</formula>
    </cfRule>
  </conditionalFormatting>
  <conditionalFormatting sqref="B99">
    <cfRule type="expression" dxfId="1224" priority="136">
      <formula>B$9&gt;=20/24</formula>
    </cfRule>
    <cfRule type="expression" dxfId="1223" priority="137">
      <formula>AND(B$9&gt;=14/24,B$9&lt;20/24)</formula>
    </cfRule>
    <cfRule type="expression" dxfId="1222" priority="138">
      <formula>AND(B$9&gt;=8/24,B$9&lt;14/24)</formula>
    </cfRule>
    <cfRule type="expression" dxfId="1221" priority="139">
      <formula>B$9&lt;8/24</formula>
    </cfRule>
  </conditionalFormatting>
  <conditionalFormatting sqref="B53:D53">
    <cfRule type="expression" dxfId="1220" priority="128">
      <formula>B$9&gt;=20/24</formula>
    </cfRule>
    <cfRule type="expression" dxfId="1219" priority="129">
      <formula>AND(B$9&gt;=14/24,B$9&lt;20/24)</formula>
    </cfRule>
    <cfRule type="expression" dxfId="1218" priority="130">
      <formula>AND(B$9&gt;=8/24,B$9&lt;14/24)</formula>
    </cfRule>
    <cfRule type="expression" dxfId="1217" priority="131">
      <formula>B$9&lt;8/24</formula>
    </cfRule>
  </conditionalFormatting>
  <conditionalFormatting sqref="B53:D57">
    <cfRule type="expression" dxfId="1216" priority="127">
      <formula>B53&gt;$AG53</formula>
    </cfRule>
  </conditionalFormatting>
  <conditionalFormatting sqref="B96 B86 B47 B100:C106 B72:D74 B67:D69">
    <cfRule type="expression" dxfId="1215" priority="123">
      <formula>B$9&gt;=20/24</formula>
    </cfRule>
    <cfRule type="expression" dxfId="1214" priority="124">
      <formula>AND(B$9&gt;=14/24,B$9&lt;20/24)</formula>
    </cfRule>
    <cfRule type="expression" dxfId="1213" priority="125">
      <formula>AND(B$9&gt;=8/24,B$9&lt;14/24)</formula>
    </cfRule>
    <cfRule type="expression" dxfId="1212" priority="126">
      <formula>B$9&lt;8/24</formula>
    </cfRule>
  </conditionalFormatting>
  <conditionalFormatting sqref="B47 B67:D69">
    <cfRule type="expression" dxfId="1211" priority="122">
      <formula>B47&gt;$AG47</formula>
    </cfRule>
  </conditionalFormatting>
  <conditionalFormatting sqref="B97 B88:C88">
    <cfRule type="expression" dxfId="1210" priority="118">
      <formula>B$9&gt;=20/24</formula>
    </cfRule>
    <cfRule type="expression" dxfId="1209" priority="119">
      <formula>AND(B$9&gt;=14/24,B$9&lt;20/24)</formula>
    </cfRule>
    <cfRule type="expression" dxfId="1208" priority="120">
      <formula>AND(B$9&gt;=8/24,B$9&lt;14/24)</formula>
    </cfRule>
    <cfRule type="expression" dxfId="1207" priority="121">
      <formula>B$9&lt;8/24</formula>
    </cfRule>
  </conditionalFormatting>
  <conditionalFormatting sqref="B46:AF46">
    <cfRule type="expression" dxfId="1206" priority="114">
      <formula>B$9&gt;=20/24</formula>
    </cfRule>
    <cfRule type="expression" dxfId="1205" priority="115">
      <formula>AND(B$9&gt;=14/24,B$9&lt;20/24)</formula>
    </cfRule>
    <cfRule type="expression" dxfId="1204" priority="116">
      <formula>AND(B$9&gt;=8/24,B$9&lt;14/24)</formula>
    </cfRule>
    <cfRule type="expression" dxfId="1203" priority="117">
      <formula>B$9&lt;8/24</formula>
    </cfRule>
  </conditionalFormatting>
  <conditionalFormatting sqref="B46:AF46">
    <cfRule type="expression" dxfId="1202" priority="113">
      <formula>B46&gt;$AG46</formula>
    </cfRule>
  </conditionalFormatting>
  <conditionalFormatting sqref="B58:D58">
    <cfRule type="expression" dxfId="1201" priority="109">
      <formula>B$9&gt;=20/24</formula>
    </cfRule>
    <cfRule type="expression" dxfId="1200" priority="110">
      <formula>AND(B$9&gt;=14/24,B$9&lt;20/24)</formula>
    </cfRule>
    <cfRule type="expression" dxfId="1199" priority="111">
      <formula>AND(B$9&gt;=8/24,B$9&lt;14/24)</formula>
    </cfRule>
    <cfRule type="expression" dxfId="1198" priority="112">
      <formula>B$9&lt;8/24</formula>
    </cfRule>
  </conditionalFormatting>
  <conditionalFormatting sqref="B58:D58">
    <cfRule type="expression" dxfId="1197" priority="108">
      <formula>B58&gt;$AG58</formula>
    </cfRule>
  </conditionalFormatting>
  <conditionalFormatting sqref="B91:B95">
    <cfRule type="expression" dxfId="1196" priority="104">
      <formula>B$9&gt;=20/24</formula>
    </cfRule>
    <cfRule type="expression" dxfId="1195" priority="105">
      <formula>AND(B$9&gt;=14/24,B$9&lt;20/24)</formula>
    </cfRule>
    <cfRule type="expression" dxfId="1194" priority="106">
      <formula>AND(B$9&gt;=8/24,B$9&lt;14/24)</formula>
    </cfRule>
    <cfRule type="expression" dxfId="1193" priority="107">
      <formula>B$9&lt;8/24</formula>
    </cfRule>
  </conditionalFormatting>
  <conditionalFormatting sqref="B49:E49 B51:E51 B50:G50">
    <cfRule type="expression" dxfId="1192" priority="99">
      <formula>B49&gt;$AG49</formula>
    </cfRule>
  </conditionalFormatting>
  <conditionalFormatting sqref="B107">
    <cfRule type="expression" dxfId="1191" priority="95">
      <formula>B$9&gt;=20/24</formula>
    </cfRule>
    <cfRule type="expression" dxfId="1190" priority="96">
      <formula>AND(B$9&gt;=14/24,B$9&lt;20/24)</formula>
    </cfRule>
    <cfRule type="expression" dxfId="1189" priority="97">
      <formula>AND(B$9&gt;=8/24,B$9&lt;14/24)</formula>
    </cfRule>
    <cfRule type="expression" dxfId="1188" priority="98">
      <formula>B$9&lt;8/24</formula>
    </cfRule>
  </conditionalFormatting>
  <conditionalFormatting sqref="B110">
    <cfRule type="expression" dxfId="1187" priority="91">
      <formula>B$9&gt;=20/24</formula>
    </cfRule>
    <cfRule type="expression" dxfId="1186" priority="92">
      <formula>AND(B$9&gt;=14/24,B$9&lt;20/24)</formula>
    </cfRule>
    <cfRule type="expression" dxfId="1185" priority="93">
      <formula>AND(B$9&gt;=8/24,B$9&lt;14/24)</formula>
    </cfRule>
    <cfRule type="expression" dxfId="1184" priority="94">
      <formula>B$9&lt;8/24</formula>
    </cfRule>
  </conditionalFormatting>
  <conditionalFormatting sqref="B83:B85 B75:D76">
    <cfRule type="expression" dxfId="1183" priority="87">
      <formula>B$9&gt;=20/24</formula>
    </cfRule>
    <cfRule type="expression" dxfId="1182" priority="88">
      <formula>AND(B$9&gt;=14/24,B$9&lt;20/24)</formula>
    </cfRule>
    <cfRule type="expression" dxfId="1181" priority="89">
      <formula>AND(B$9&gt;=8/24,B$9&lt;14/24)</formula>
    </cfRule>
    <cfRule type="expression" dxfId="1180" priority="90">
      <formula>B$9&lt;8/24</formula>
    </cfRule>
  </conditionalFormatting>
  <conditionalFormatting sqref="B89 B98 B70 B87">
    <cfRule type="expression" dxfId="1179" priority="83">
      <formula>B$9&gt;=20/24</formula>
    </cfRule>
    <cfRule type="expression" dxfId="1178" priority="84">
      <formula>AND(B$9&gt;=14/24,B$9&lt;20/24)</formula>
    </cfRule>
    <cfRule type="expression" dxfId="1177" priority="85">
      <formula>AND(B$9&gt;=8/24,B$9&lt;14/24)</formula>
    </cfRule>
    <cfRule type="expression" dxfId="1176" priority="86">
      <formula>B$9&lt;8/24</formula>
    </cfRule>
  </conditionalFormatting>
  <conditionalFormatting sqref="B65:B66 B70 B48:AF48">
    <cfRule type="expression" dxfId="1175" priority="82">
      <formula>B48&gt;$AG48</formula>
    </cfRule>
  </conditionalFormatting>
  <conditionalFormatting sqref="B82">
    <cfRule type="expression" dxfId="1174" priority="78">
      <formula>B$9&gt;=20/24</formula>
    </cfRule>
    <cfRule type="expression" dxfId="1173" priority="79">
      <formula>AND(B$9&gt;=14/24,B$9&lt;20/24)</formula>
    </cfRule>
    <cfRule type="expression" dxfId="1172" priority="80">
      <formula>AND(B$9&gt;=8/24,B$9&lt;14/24)</formula>
    </cfRule>
    <cfRule type="expression" dxfId="1171" priority="81">
      <formula>B$9&lt;8/24</formula>
    </cfRule>
  </conditionalFormatting>
  <conditionalFormatting sqref="B52">
    <cfRule type="expression" dxfId="1170" priority="74">
      <formula>B$9&gt;=20/24</formula>
    </cfRule>
    <cfRule type="expression" dxfId="1169" priority="75">
      <formula>AND(B$9&gt;=14/24,B$9&lt;20/24)</formula>
    </cfRule>
    <cfRule type="expression" dxfId="1168" priority="76">
      <formula>AND(B$9&gt;=8/24,B$9&lt;14/24)</formula>
    </cfRule>
    <cfRule type="expression" dxfId="1167" priority="77">
      <formula>B$9&lt;8/24</formula>
    </cfRule>
  </conditionalFormatting>
  <conditionalFormatting sqref="B52">
    <cfRule type="expression" dxfId="1166" priority="73">
      <formula>B52&gt;$AG52</formula>
    </cfRule>
  </conditionalFormatting>
  <conditionalFormatting sqref="B60:D64 B59:J59">
    <cfRule type="expression" dxfId="1165" priority="65">
      <formula>B$9&gt;=20/24</formula>
    </cfRule>
    <cfRule type="expression" dxfId="1164" priority="66">
      <formula>AND(B$9&gt;=14/24,B$9&lt;20/24)</formula>
    </cfRule>
    <cfRule type="expression" dxfId="1163" priority="67">
      <formula>AND(B$9&gt;=8/24,B$9&lt;14/24)</formula>
    </cfRule>
    <cfRule type="expression" dxfId="1162" priority="68">
      <formula>B$9&lt;8/24</formula>
    </cfRule>
  </conditionalFormatting>
  <conditionalFormatting sqref="B60:D64 B59:J59">
    <cfRule type="expression" dxfId="1161" priority="64">
      <formula>B59&gt;$AG59</formula>
    </cfRule>
  </conditionalFormatting>
  <conditionalFormatting sqref="B77:D81">
    <cfRule type="expression" dxfId="1160" priority="60">
      <formula>B$9&gt;=20/24</formula>
    </cfRule>
    <cfRule type="expression" dxfId="1159" priority="61">
      <formula>AND(B$9&gt;=14/24,B$9&lt;20/24)</formula>
    </cfRule>
    <cfRule type="expression" dxfId="1158" priority="62">
      <formula>AND(B$9&gt;=8/24,B$9&lt;14/24)</formula>
    </cfRule>
    <cfRule type="expression" dxfId="1157" priority="63">
      <formula>B$9&lt;8/24</formula>
    </cfRule>
  </conditionalFormatting>
  <conditionalFormatting sqref="A11">
    <cfRule type="expression" dxfId="1156" priority="59">
      <formula>$AH11=0</formula>
    </cfRule>
  </conditionalFormatting>
  <conditionalFormatting sqref="H11:AF11">
    <cfRule type="expression" dxfId="1155" priority="55">
      <formula>H$9&gt;=20/24</formula>
    </cfRule>
    <cfRule type="expression" dxfId="1154" priority="56">
      <formula>AND(H$9&gt;=14/24,H$9&lt;20/24)</formula>
    </cfRule>
    <cfRule type="expression" dxfId="1153" priority="57">
      <formula>AND(H$9&gt;=8/24,H$9&lt;14/24)</formula>
    </cfRule>
    <cfRule type="expression" dxfId="1152" priority="58">
      <formula>H$9&lt;8/24</formula>
    </cfRule>
  </conditionalFormatting>
  <conditionalFormatting sqref="H11:AF11">
    <cfRule type="expression" dxfId="1151" priority="54">
      <formula>H11&gt;$AG11</formula>
    </cfRule>
  </conditionalFormatting>
  <conditionalFormatting sqref="B11:G11">
    <cfRule type="expression" dxfId="1150" priority="50">
      <formula>B$9&gt;=20/24</formula>
    </cfRule>
    <cfRule type="expression" dxfId="1149" priority="51">
      <formula>AND(B$9&gt;=14/24,B$9&lt;20/24)</formula>
    </cfRule>
    <cfRule type="expression" dxfId="1148" priority="52">
      <formula>AND(B$9&gt;=8/24,B$9&lt;14/24)</formula>
    </cfRule>
    <cfRule type="expression" dxfId="1147" priority="53">
      <formula>B$9&lt;8/24</formula>
    </cfRule>
  </conditionalFormatting>
  <conditionalFormatting sqref="B11:G11">
    <cfRule type="expression" dxfId="1146" priority="49">
      <formula>B11&gt;$AG11</formula>
    </cfRule>
  </conditionalFormatting>
  <conditionalFormatting sqref="A16">
    <cfRule type="expression" dxfId="1145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I16:AF16">
    <cfRule type="expression" dxfId="1144" priority="43">
      <formula>I$9&gt;=20/24</formula>
    </cfRule>
    <cfRule type="expression" dxfId="1143" priority="44">
      <formula>AND(I$9&gt;=14/24,I$9&lt;20/24)</formula>
    </cfRule>
    <cfRule type="expression" dxfId="1142" priority="45">
      <formula>AND(I$9&gt;=8/24,I$9&lt;14/24)</formula>
    </cfRule>
    <cfRule type="expression" dxfId="1141" priority="46">
      <formula>I$9&lt;8/24</formula>
    </cfRule>
  </conditionalFormatting>
  <conditionalFormatting sqref="I16:AF16">
    <cfRule type="expression" dxfId="1140" priority="42">
      <formula>I16&gt;$AG16</formula>
    </cfRule>
  </conditionalFormatting>
  <conditionalFormatting sqref="B16:H16">
    <cfRule type="expression" dxfId="1139" priority="38">
      <formula>B$9&gt;=20/24</formula>
    </cfRule>
    <cfRule type="expression" dxfId="1138" priority="39">
      <formula>AND(B$9&gt;=14/24,B$9&lt;20/24)</formula>
    </cfRule>
    <cfRule type="expression" dxfId="1137" priority="40">
      <formula>AND(B$9&gt;=8/24,B$9&lt;14/24)</formula>
    </cfRule>
    <cfRule type="expression" dxfId="1136" priority="41">
      <formula>B$9&lt;8/24</formula>
    </cfRule>
  </conditionalFormatting>
  <conditionalFormatting sqref="B16:H16">
    <cfRule type="expression" dxfId="1135" priority="37">
      <formula>B16&gt;$AG16</formula>
    </cfRule>
  </conditionalFormatting>
  <conditionalFormatting sqref="A33">
    <cfRule type="expression" dxfId="1134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Q33:AF33">
    <cfRule type="expression" dxfId="1133" priority="31">
      <formula>Q$9&gt;=20/24</formula>
    </cfRule>
    <cfRule type="expression" dxfId="1132" priority="32">
      <formula>AND(Q$9&gt;=14/24,Q$9&lt;20/24)</formula>
    </cfRule>
    <cfRule type="expression" dxfId="1131" priority="33">
      <formula>AND(Q$9&gt;=8/24,Q$9&lt;14/24)</formula>
    </cfRule>
    <cfRule type="expression" dxfId="1130" priority="34">
      <formula>Q$9&lt;8/24</formula>
    </cfRule>
  </conditionalFormatting>
  <conditionalFormatting sqref="Q33:AF33">
    <cfRule type="expression" dxfId="1129" priority="30">
      <formula>Q33&gt;$AG33</formula>
    </cfRule>
  </conditionalFormatting>
  <conditionalFormatting sqref="B33:P33">
    <cfRule type="expression" dxfId="1128" priority="26">
      <formula>B$9&gt;=20/24</formula>
    </cfRule>
    <cfRule type="expression" dxfId="1127" priority="27">
      <formula>AND(B$9&gt;=14/24,B$9&lt;20/24)</formula>
    </cfRule>
    <cfRule type="expression" dxfId="1126" priority="28">
      <formula>AND(B$9&gt;=8/24,B$9&lt;14/24)</formula>
    </cfRule>
    <cfRule type="expression" dxfId="1125" priority="29">
      <formula>B$9&lt;8/24</formula>
    </cfRule>
  </conditionalFormatting>
  <conditionalFormatting sqref="B33:P33">
    <cfRule type="expression" dxfId="1124" priority="25">
      <formula>B33&gt;$AG33</formula>
    </cfRule>
  </conditionalFormatting>
  <conditionalFormatting sqref="A44">
    <cfRule type="expression" dxfId="1123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AA44:AF44">
    <cfRule type="expression" dxfId="1122" priority="22">
      <formula>AA44&gt;$AG44</formula>
    </cfRule>
  </conditionalFormatting>
  <conditionalFormatting sqref="AA44:AF44">
    <cfRule type="expression" dxfId="1121" priority="18">
      <formula>AA$9&gt;=20/24</formula>
    </cfRule>
    <cfRule type="expression" dxfId="1120" priority="19">
      <formula>AND(AA$9&gt;=14/24,AA$9&lt;20/24)</formula>
    </cfRule>
    <cfRule type="expression" dxfId="1119" priority="20">
      <formula>AND(AA$9&gt;=8/24,AA$9&lt;14/24)</formula>
    </cfRule>
    <cfRule type="expression" dxfId="1118" priority="21">
      <formula>AA$9&lt;8/24</formula>
    </cfRule>
  </conditionalFormatting>
  <conditionalFormatting sqref="B44:Z44">
    <cfRule type="expression" dxfId="1117" priority="14">
      <formula>B$9&gt;=20/24</formula>
    </cfRule>
    <cfRule type="expression" dxfId="1116" priority="15">
      <formula>AND(B$9&gt;=14/24,B$9&lt;20/24)</formula>
    </cfRule>
    <cfRule type="expression" dxfId="1115" priority="16">
      <formula>AND(B$9&gt;=8/24,B$9&lt;14/24)</formula>
    </cfRule>
    <cfRule type="expression" dxfId="1114" priority="17">
      <formula>B$9&lt;8/24</formula>
    </cfRule>
  </conditionalFormatting>
  <conditionalFormatting sqref="B44:Z44">
    <cfRule type="expression" dxfId="1113" priority="13">
      <formula>B44&gt;$AG44</formula>
    </cfRule>
  </conditionalFormatting>
  <conditionalFormatting sqref="B117">
    <cfRule type="expression" dxfId="1112" priority="1">
      <formula>B$9&gt;=20/24</formula>
    </cfRule>
    <cfRule type="expression" dxfId="1111" priority="2">
      <formula>AND(B$9&gt;=14/24,B$9&lt;20/24)</formula>
    </cfRule>
    <cfRule type="expression" dxfId="1110" priority="3">
      <formula>AND(B$9&gt;=8/24,B$9&lt;14/24)</formula>
    </cfRule>
    <cfRule type="expression" dxfId="1109" priority="4">
      <formula>B$9&lt;8/24</formula>
    </cfRule>
  </conditionalFormatting>
  <conditionalFormatting sqref="D117:AF117">
    <cfRule type="expression" dxfId="1108" priority="9">
      <formula>D$9&gt;=20/24</formula>
    </cfRule>
    <cfRule type="expression" dxfId="1107" priority="10">
      <formula>AND(D$9&gt;=14/24,D$9&lt;20/24)</formula>
    </cfRule>
    <cfRule type="expression" dxfId="1106" priority="11">
      <formula>AND(D$9&gt;=8/24,D$9&lt;14/24)</formula>
    </cfRule>
    <cfRule type="expression" dxfId="1105" priority="12">
      <formula>D$9&lt;8/24</formula>
    </cfRule>
  </conditionalFormatting>
  <conditionalFormatting sqref="C117">
    <cfRule type="expression" dxfId="1104" priority="5">
      <formula>C$9&gt;=20/24</formula>
    </cfRule>
    <cfRule type="expression" dxfId="1103" priority="6">
      <formula>AND(C$9&gt;=14/24,C$9&lt;20/24)</formula>
    </cfRule>
    <cfRule type="expression" dxfId="1102" priority="7">
      <formula>AND(C$9&gt;=8/24,C$9&lt;14/24)</formula>
    </cfRule>
    <cfRule type="expression" dxfId="1101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A726AD45-9FA8-4A1D-B4D5-52CA35B21C5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BABE9005-B226-4EDC-BCD4-C4400FEAA9E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64B880E3-A434-4B67-905F-1028C4DDE54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5510AD0A-1BF1-4921-BF35-8EDD44DC5607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6C16E4F8-CFBB-48B7-A95D-73F820E42EA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9478A0D5-0194-4F82-9DD6-EC3DA9EA32C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0FBF8A3E-1E35-4B8A-B34B-A014760BE76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ED537108-3D87-4D81-879F-BE6A0F0CC46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="80" zoomScaleNormal="80" workbookViewId="0">
      <pane ySplit="10" topLeftCell="A11" activePane="bottomLeft" state="frozen"/>
      <selection activeCell="Z85" sqref="Z85"/>
      <selection pane="bottomLeft" activeCell="AF77" sqref="AF77:AF81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2079/12/26</v>
      </c>
      <c r="C4" s="236"/>
      <c r="D4" s="236"/>
      <c r="E4" s="237" t="str">
        <f ca="1">"2079/"&amp;"12/"&amp;INT(MID(CELL("filename",G6),FIND("]",CELL("filename",G6))+1,200))</f>
        <v>2079/12/26</v>
      </c>
      <c r="F4" s="237"/>
      <c r="G4" s="237"/>
      <c r="H4" s="237" t="str">
        <f ca="1">TEXT(E4,"dddd")</f>
        <v>Tuesday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520.79999999999995</v>
      </c>
      <c r="C5" s="33">
        <f t="shared" si="0"/>
        <v>566.5</v>
      </c>
      <c r="D5" s="33">
        <f t="shared" si="0"/>
        <v>579.70000000000005</v>
      </c>
      <c r="E5" s="33">
        <f t="shared" si="0"/>
        <v>569.1</v>
      </c>
      <c r="F5" s="33">
        <f t="shared" si="0"/>
        <v>585.59999999999991</v>
      </c>
      <c r="G5" s="33">
        <f t="shared" si="0"/>
        <v>578.4</v>
      </c>
      <c r="H5" s="33">
        <f t="shared" si="0"/>
        <v>579.90000000000009</v>
      </c>
      <c r="I5" s="33">
        <f t="shared" si="0"/>
        <v>615</v>
      </c>
      <c r="J5" s="33">
        <f t="shared" si="0"/>
        <v>592.4</v>
      </c>
      <c r="K5" s="33">
        <f t="shared" si="0"/>
        <v>589.5</v>
      </c>
      <c r="L5" s="33">
        <f t="shared" si="0"/>
        <v>588.4</v>
      </c>
      <c r="M5" s="33">
        <f t="shared" si="0"/>
        <v>617.5</v>
      </c>
      <c r="N5" s="33">
        <f t="shared" si="0"/>
        <v>639.9</v>
      </c>
      <c r="O5" s="33">
        <f t="shared" si="0"/>
        <v>663.1</v>
      </c>
      <c r="P5" s="33">
        <f t="shared" si="0"/>
        <v>603.59999999999991</v>
      </c>
      <c r="Q5" s="33">
        <f t="shared" si="0"/>
        <v>637.70000000000005</v>
      </c>
      <c r="R5" s="33">
        <f t="shared" si="0"/>
        <v>595.6</v>
      </c>
      <c r="S5" s="33">
        <f t="shared" si="0"/>
        <v>586.9</v>
      </c>
      <c r="T5" s="33">
        <f t="shared" si="0"/>
        <v>543.19999999999993</v>
      </c>
      <c r="U5" s="33">
        <f t="shared" si="0"/>
        <v>593.1</v>
      </c>
      <c r="V5" s="33">
        <f t="shared" si="0"/>
        <v>558.1</v>
      </c>
      <c r="W5" s="33">
        <f t="shared" si="0"/>
        <v>584.5</v>
      </c>
      <c r="X5" s="33">
        <f t="shared" si="0"/>
        <v>559.6</v>
      </c>
      <c r="Y5" s="33">
        <f t="shared" si="0"/>
        <v>573.4</v>
      </c>
      <c r="Z5" s="33">
        <f t="shared" si="0"/>
        <v>496.90000000000003</v>
      </c>
      <c r="AA5" s="33">
        <f t="shared" si="0"/>
        <v>526.29999999999995</v>
      </c>
      <c r="AB5" s="33">
        <f t="shared" si="0"/>
        <v>593</v>
      </c>
      <c r="AC5" s="33">
        <f t="shared" si="0"/>
        <v>601</v>
      </c>
      <c r="AD5" s="33">
        <f t="shared" si="0"/>
        <v>584</v>
      </c>
      <c r="AE5" s="33">
        <f t="shared" si="0"/>
        <v>575</v>
      </c>
      <c r="AF5" s="33">
        <f>B82</f>
        <v>531.6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1582MW at 8:00hr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Load=1335</v>
      </c>
      <c r="B7" s="38">
        <f t="shared" ref="B7:AF7" si="1">B89</f>
        <v>1462.56</v>
      </c>
      <c r="C7" s="38">
        <f t="shared" si="1"/>
        <v>1368.96</v>
      </c>
      <c r="D7" s="38">
        <f t="shared" si="1"/>
        <v>1334.66</v>
      </c>
      <c r="E7" s="38">
        <f t="shared" si="1"/>
        <v>1378.1599999999999</v>
      </c>
      <c r="F7" s="38">
        <f t="shared" si="1"/>
        <v>1356.24</v>
      </c>
      <c r="G7" s="38">
        <f t="shared" si="1"/>
        <v>1380.34</v>
      </c>
      <c r="H7" s="38">
        <f t="shared" si="1"/>
        <v>1367.94</v>
      </c>
      <c r="I7" s="38">
        <f t="shared" si="1"/>
        <v>1397.44</v>
      </c>
      <c r="J7" s="38">
        <f t="shared" si="1"/>
        <v>1459.74</v>
      </c>
      <c r="K7" s="38">
        <f t="shared" si="1"/>
        <v>1453.8400000000001</v>
      </c>
      <c r="L7" s="38">
        <f t="shared" si="1"/>
        <v>1442.8400000000001</v>
      </c>
      <c r="M7" s="38">
        <f t="shared" si="1"/>
        <v>1581.6190000000001</v>
      </c>
      <c r="N7" s="38">
        <f>N89</f>
        <v>1555.9389999999999</v>
      </c>
      <c r="O7" s="38">
        <f t="shared" si="1"/>
        <v>1566.44</v>
      </c>
      <c r="P7" s="38">
        <f t="shared" si="1"/>
        <v>1545.3400000000001</v>
      </c>
      <c r="Q7" s="38">
        <f t="shared" si="1"/>
        <v>1556.44</v>
      </c>
      <c r="R7" s="38">
        <f t="shared" si="1"/>
        <v>1590.04</v>
      </c>
      <c r="S7" s="38">
        <f t="shared" si="1"/>
        <v>1611.04</v>
      </c>
      <c r="T7" s="38">
        <f t="shared" si="1"/>
        <v>1468.44</v>
      </c>
      <c r="U7" s="38">
        <f t="shared" si="1"/>
        <v>1473.7400000000002</v>
      </c>
      <c r="V7" s="38">
        <f t="shared" si="1"/>
        <v>1481.04</v>
      </c>
      <c r="W7" s="38">
        <f t="shared" si="1"/>
        <v>1433.14</v>
      </c>
      <c r="X7" s="38">
        <f t="shared" si="1"/>
        <v>1422.44</v>
      </c>
      <c r="Y7" s="38">
        <f t="shared" si="1"/>
        <v>1615.6400000000003</v>
      </c>
      <c r="Z7" s="38">
        <f t="shared" si="1"/>
        <v>1738.44</v>
      </c>
      <c r="AA7" s="38">
        <f t="shared" si="1"/>
        <v>1799.54</v>
      </c>
      <c r="AB7" s="38">
        <f t="shared" si="1"/>
        <v>1761.84</v>
      </c>
      <c r="AC7" s="38">
        <f t="shared" si="1"/>
        <v>1747.54</v>
      </c>
      <c r="AD7" s="38">
        <f t="shared" si="1"/>
        <v>1521.04</v>
      </c>
      <c r="AE7" s="38">
        <f t="shared" si="1"/>
        <v>1526.94</v>
      </c>
      <c r="AF7" s="38">
        <f t="shared" si="1"/>
        <v>1479.94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30</v>
      </c>
      <c r="C11" s="50">
        <v>30</v>
      </c>
      <c r="D11" s="50">
        <v>30</v>
      </c>
      <c r="E11" s="50">
        <v>30</v>
      </c>
      <c r="F11" s="50">
        <v>26</v>
      </c>
      <c r="G11" s="50">
        <v>26</v>
      </c>
      <c r="H11" s="50">
        <v>26</v>
      </c>
      <c r="I11" s="50">
        <v>26</v>
      </c>
      <c r="J11" s="50">
        <v>26</v>
      </c>
      <c r="K11" s="50">
        <v>26</v>
      </c>
      <c r="L11" s="50">
        <v>26</v>
      </c>
      <c r="M11" s="50">
        <v>30</v>
      </c>
      <c r="N11" s="50">
        <v>30</v>
      </c>
      <c r="O11" s="50">
        <v>30</v>
      </c>
      <c r="P11" s="50">
        <v>30</v>
      </c>
      <c r="Q11" s="50">
        <v>30</v>
      </c>
      <c r="R11" s="50">
        <v>30</v>
      </c>
      <c r="S11" s="50">
        <v>26</v>
      </c>
      <c r="T11" s="50">
        <v>26</v>
      </c>
      <c r="U11" s="50">
        <v>26</v>
      </c>
      <c r="V11" s="50">
        <v>26</v>
      </c>
      <c r="W11" s="50">
        <v>26</v>
      </c>
      <c r="X11" s="50">
        <v>26</v>
      </c>
      <c r="Y11" s="50">
        <v>26</v>
      </c>
      <c r="Z11" s="50">
        <v>26</v>
      </c>
      <c r="AA11" s="50">
        <v>26</v>
      </c>
      <c r="AB11" s="50">
        <v>26</v>
      </c>
      <c r="AC11" s="50">
        <v>26</v>
      </c>
      <c r="AD11" s="50">
        <v>26</v>
      </c>
      <c r="AE11" s="50">
        <v>26</v>
      </c>
      <c r="AF11" s="50">
        <v>26</v>
      </c>
      <c r="AG11" s="51">
        <v>86</v>
      </c>
      <c r="AH11" s="52">
        <f t="shared" ref="AH11:AH74" si="2">MAX(B11:AF11)</f>
        <v>30</v>
      </c>
      <c r="AI11" s="53">
        <f t="shared" ref="AI11:AI74" si="3">MIN(B11:AF11)</f>
        <v>26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15.8</v>
      </c>
      <c r="C12" s="50">
        <v>15.8</v>
      </c>
      <c r="D12" s="50">
        <v>15.8</v>
      </c>
      <c r="E12" s="50">
        <v>14.9</v>
      </c>
      <c r="F12" s="50">
        <v>16.899999999999999</v>
      </c>
      <c r="G12" s="50">
        <v>15.4</v>
      </c>
      <c r="H12" s="50">
        <v>15.4</v>
      </c>
      <c r="I12" s="50">
        <v>15.4</v>
      </c>
      <c r="J12" s="50">
        <v>15.4</v>
      </c>
      <c r="K12" s="50">
        <v>16.899999999999999</v>
      </c>
      <c r="L12" s="50">
        <v>16.899999999999999</v>
      </c>
      <c r="M12" s="50">
        <v>16.8</v>
      </c>
      <c r="N12" s="50">
        <v>16.8</v>
      </c>
      <c r="O12" s="50">
        <v>16.8</v>
      </c>
      <c r="P12" s="50">
        <v>16.8</v>
      </c>
      <c r="Q12" s="50">
        <v>15.3</v>
      </c>
      <c r="R12" s="50">
        <v>15.3</v>
      </c>
      <c r="S12" s="50">
        <v>14.8</v>
      </c>
      <c r="T12" s="50">
        <v>14.8</v>
      </c>
      <c r="U12" s="50">
        <v>14.8</v>
      </c>
      <c r="V12" s="50">
        <v>14.8</v>
      </c>
      <c r="W12" s="50">
        <v>14.8</v>
      </c>
      <c r="X12" s="50">
        <v>14.8</v>
      </c>
      <c r="Y12" s="50">
        <v>14.8</v>
      </c>
      <c r="Z12" s="50">
        <v>14.8</v>
      </c>
      <c r="AA12" s="50">
        <v>13</v>
      </c>
      <c r="AB12" s="50">
        <v>13</v>
      </c>
      <c r="AC12" s="50">
        <v>13</v>
      </c>
      <c r="AD12" s="50">
        <v>13</v>
      </c>
      <c r="AE12" s="50">
        <v>13</v>
      </c>
      <c r="AF12" s="50">
        <v>13</v>
      </c>
      <c r="AG12" s="51">
        <v>52.4</v>
      </c>
      <c r="AH12" s="52">
        <f t="shared" si="2"/>
        <v>16.899999999999999</v>
      </c>
      <c r="AI12" s="53">
        <f t="shared" si="3"/>
        <v>13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39.4</v>
      </c>
      <c r="C13" s="50">
        <v>39.4</v>
      </c>
      <c r="D13" s="50">
        <v>39.4</v>
      </c>
      <c r="E13" s="50">
        <v>39.9</v>
      </c>
      <c r="F13" s="50">
        <v>39.9</v>
      </c>
      <c r="G13" s="50">
        <v>39.9</v>
      </c>
      <c r="H13" s="50">
        <v>39.9</v>
      </c>
      <c r="I13" s="50">
        <v>39.9</v>
      </c>
      <c r="J13" s="50">
        <v>39.9</v>
      </c>
      <c r="K13" s="50">
        <v>39.9</v>
      </c>
      <c r="L13" s="50">
        <v>39.9</v>
      </c>
      <c r="M13" s="50">
        <v>39.9</v>
      </c>
      <c r="N13" s="50">
        <v>39.9</v>
      </c>
      <c r="O13" s="50">
        <v>39.9</v>
      </c>
      <c r="P13" s="50">
        <v>39.9</v>
      </c>
      <c r="Q13" s="50">
        <v>37</v>
      </c>
      <c r="R13" s="50">
        <v>37.4</v>
      </c>
      <c r="S13" s="50">
        <v>37.299999999999997</v>
      </c>
      <c r="T13" s="50">
        <v>37.299999999999997</v>
      </c>
      <c r="U13" s="50">
        <v>37.299999999999997</v>
      </c>
      <c r="V13" s="50">
        <v>37.299999999999997</v>
      </c>
      <c r="W13" s="50">
        <v>37.299999999999997</v>
      </c>
      <c r="X13" s="50">
        <v>37.299999999999997</v>
      </c>
      <c r="Y13" s="50">
        <v>36.700000000000003</v>
      </c>
      <c r="Z13" s="50">
        <v>36.700000000000003</v>
      </c>
      <c r="AA13" s="50">
        <v>36.1</v>
      </c>
      <c r="AB13" s="50">
        <v>36.1</v>
      </c>
      <c r="AC13" s="50">
        <v>36.1</v>
      </c>
      <c r="AD13" s="50">
        <v>36.1</v>
      </c>
      <c r="AE13" s="50">
        <v>36.1</v>
      </c>
      <c r="AF13" s="50">
        <v>36.1</v>
      </c>
      <c r="AG13" s="55">
        <v>50</v>
      </c>
      <c r="AH13" s="52">
        <f t="shared" si="2"/>
        <v>39.9</v>
      </c>
      <c r="AI13" s="53">
        <f t="shared" si="3"/>
        <v>36.1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20.9</v>
      </c>
      <c r="C14" s="50">
        <v>20.9</v>
      </c>
      <c r="D14" s="50">
        <v>20.9</v>
      </c>
      <c r="E14" s="50">
        <v>20.9</v>
      </c>
      <c r="F14" s="50">
        <v>20.9</v>
      </c>
      <c r="G14" s="50">
        <v>19.100000000000001</v>
      </c>
      <c r="H14" s="50">
        <v>19.100000000000001</v>
      </c>
      <c r="I14" s="50">
        <v>19.100000000000001</v>
      </c>
      <c r="J14" s="50">
        <v>19.100000000000001</v>
      </c>
      <c r="K14" s="50">
        <v>18.7</v>
      </c>
      <c r="L14" s="50">
        <v>18.7</v>
      </c>
      <c r="M14" s="50">
        <v>18.7</v>
      </c>
      <c r="N14" s="50">
        <v>18.7</v>
      </c>
      <c r="O14" s="50">
        <v>18.7</v>
      </c>
      <c r="P14" s="50">
        <v>18.7</v>
      </c>
      <c r="Q14" s="50">
        <v>16.600000000000001</v>
      </c>
      <c r="R14" s="50">
        <v>16.899999999999999</v>
      </c>
      <c r="S14" s="50">
        <v>16.899999999999999</v>
      </c>
      <c r="T14" s="50">
        <v>16.899999999999999</v>
      </c>
      <c r="U14" s="50">
        <v>16.899999999999999</v>
      </c>
      <c r="V14" s="50">
        <v>16.899999999999999</v>
      </c>
      <c r="W14" s="50">
        <v>16.899999999999999</v>
      </c>
      <c r="X14" s="50">
        <v>16.899999999999999</v>
      </c>
      <c r="Y14" s="50">
        <v>18.899999999999999</v>
      </c>
      <c r="Z14" s="50">
        <v>18.899999999999999</v>
      </c>
      <c r="AA14" s="50">
        <v>19.600000000000001</v>
      </c>
      <c r="AB14" s="50">
        <v>19.600000000000001</v>
      </c>
      <c r="AC14" s="50">
        <v>19.600000000000001</v>
      </c>
      <c r="AD14" s="50">
        <v>19.600000000000001</v>
      </c>
      <c r="AE14" s="50">
        <v>19.600000000000001</v>
      </c>
      <c r="AF14" s="50">
        <v>19.600000000000001</v>
      </c>
      <c r="AG14" s="55">
        <v>45</v>
      </c>
      <c r="AH14" s="52">
        <f t="shared" si="2"/>
        <v>20.9</v>
      </c>
      <c r="AI14" s="53">
        <f t="shared" si="3"/>
        <v>16.600000000000001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13.6</v>
      </c>
      <c r="C15" s="50">
        <v>13.6</v>
      </c>
      <c r="D15" s="50">
        <v>13.6</v>
      </c>
      <c r="E15" s="50">
        <v>13.6</v>
      </c>
      <c r="F15" s="50">
        <v>13.6</v>
      </c>
      <c r="G15" s="50">
        <v>13.6</v>
      </c>
      <c r="H15" s="50">
        <v>13.6</v>
      </c>
      <c r="I15" s="50">
        <v>13.6</v>
      </c>
      <c r="J15" s="50">
        <v>13.6</v>
      </c>
      <c r="K15" s="50">
        <v>13.6</v>
      </c>
      <c r="L15" s="50">
        <v>13.6</v>
      </c>
      <c r="M15" s="50">
        <v>13.6</v>
      </c>
      <c r="N15" s="50">
        <v>13.6</v>
      </c>
      <c r="O15" s="50">
        <v>13.6</v>
      </c>
      <c r="P15" s="50">
        <v>13.6</v>
      </c>
      <c r="Q15" s="50">
        <v>13</v>
      </c>
      <c r="R15" s="50">
        <v>13</v>
      </c>
      <c r="S15" s="50">
        <v>13</v>
      </c>
      <c r="T15" s="50">
        <v>13</v>
      </c>
      <c r="U15" s="50">
        <v>13</v>
      </c>
      <c r="V15" s="50">
        <v>13</v>
      </c>
      <c r="W15" s="50">
        <v>13</v>
      </c>
      <c r="X15" s="50">
        <v>13</v>
      </c>
      <c r="Y15" s="50">
        <v>13</v>
      </c>
      <c r="Z15" s="50">
        <v>13</v>
      </c>
      <c r="AA15" s="50">
        <v>13</v>
      </c>
      <c r="AB15" s="50">
        <v>13</v>
      </c>
      <c r="AC15" s="50">
        <v>13</v>
      </c>
      <c r="AD15" s="50">
        <v>13</v>
      </c>
      <c r="AE15" s="50">
        <v>13</v>
      </c>
      <c r="AF15" s="50">
        <v>13</v>
      </c>
      <c r="AG15" s="55">
        <v>42</v>
      </c>
      <c r="AH15" s="52">
        <f t="shared" si="2"/>
        <v>13.6</v>
      </c>
      <c r="AI15" s="53">
        <f t="shared" si="3"/>
        <v>13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18</v>
      </c>
      <c r="C16" s="50">
        <v>18</v>
      </c>
      <c r="D16" s="50">
        <v>18</v>
      </c>
      <c r="E16" s="50">
        <v>18</v>
      </c>
      <c r="F16" s="50">
        <v>18</v>
      </c>
      <c r="G16" s="50">
        <v>18</v>
      </c>
      <c r="H16" s="50">
        <v>18</v>
      </c>
      <c r="I16" s="50">
        <v>18</v>
      </c>
      <c r="J16" s="50">
        <v>18</v>
      </c>
      <c r="K16" s="50">
        <v>18</v>
      </c>
      <c r="L16" s="50">
        <v>18</v>
      </c>
      <c r="M16" s="50">
        <v>18</v>
      </c>
      <c r="N16" s="50">
        <v>18</v>
      </c>
      <c r="O16" s="50">
        <v>18</v>
      </c>
      <c r="P16" s="50">
        <v>18</v>
      </c>
      <c r="Q16" s="50">
        <v>18</v>
      </c>
      <c r="R16" s="50">
        <v>18</v>
      </c>
      <c r="S16" s="50">
        <v>18</v>
      </c>
      <c r="T16" s="50">
        <v>18</v>
      </c>
      <c r="U16" s="50">
        <v>18</v>
      </c>
      <c r="V16" s="50">
        <v>18</v>
      </c>
      <c r="W16" s="50">
        <v>18</v>
      </c>
      <c r="X16" s="50">
        <v>18</v>
      </c>
      <c r="Y16" s="50">
        <v>18</v>
      </c>
      <c r="Z16" s="50">
        <v>18</v>
      </c>
      <c r="AA16" s="50">
        <v>18</v>
      </c>
      <c r="AB16" s="50">
        <v>18</v>
      </c>
      <c r="AC16" s="50">
        <v>18</v>
      </c>
      <c r="AD16" s="50">
        <v>18</v>
      </c>
      <c r="AE16" s="50">
        <v>18</v>
      </c>
      <c r="AF16" s="50">
        <v>18</v>
      </c>
      <c r="AG16" s="55">
        <v>36</v>
      </c>
      <c r="AH16" s="52">
        <f t="shared" si="2"/>
        <v>18</v>
      </c>
      <c r="AI16" s="53">
        <f t="shared" si="3"/>
        <v>18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12.5</v>
      </c>
      <c r="C17" s="50">
        <v>12.5</v>
      </c>
      <c r="D17" s="50">
        <v>12.5</v>
      </c>
      <c r="E17" s="50">
        <v>12.5</v>
      </c>
      <c r="F17" s="50">
        <v>12.5</v>
      </c>
      <c r="G17" s="50">
        <v>12.5</v>
      </c>
      <c r="H17" s="50">
        <v>12.5</v>
      </c>
      <c r="I17" s="50">
        <v>12.5</v>
      </c>
      <c r="J17" s="50">
        <v>12.5</v>
      </c>
      <c r="K17" s="50">
        <v>12.5</v>
      </c>
      <c r="L17" s="50">
        <v>12.5</v>
      </c>
      <c r="M17" s="50">
        <v>12.5</v>
      </c>
      <c r="N17" s="50">
        <v>12.5</v>
      </c>
      <c r="O17" s="50">
        <v>12.5</v>
      </c>
      <c r="P17" s="50">
        <v>12.5</v>
      </c>
      <c r="Q17" s="50">
        <v>12.5</v>
      </c>
      <c r="R17" s="50">
        <v>12.4</v>
      </c>
      <c r="S17" s="50">
        <v>12.4</v>
      </c>
      <c r="T17" s="50">
        <v>12.4</v>
      </c>
      <c r="U17" s="50">
        <v>12.4</v>
      </c>
      <c r="V17" s="50">
        <v>12.4</v>
      </c>
      <c r="W17" s="50">
        <v>12.4</v>
      </c>
      <c r="X17" s="50">
        <v>12.4</v>
      </c>
      <c r="Y17" s="50">
        <v>12.4</v>
      </c>
      <c r="Z17" s="50">
        <v>12.4</v>
      </c>
      <c r="AA17" s="50">
        <v>12.4</v>
      </c>
      <c r="AB17" s="50">
        <v>12.4</v>
      </c>
      <c r="AC17" s="50">
        <v>12.4</v>
      </c>
      <c r="AD17" s="50">
        <v>12.4</v>
      </c>
      <c r="AE17" s="50">
        <v>12.4</v>
      </c>
      <c r="AF17" s="50">
        <v>12.4</v>
      </c>
      <c r="AG17" s="55">
        <v>36</v>
      </c>
      <c r="AH17" s="52">
        <f t="shared" si="2"/>
        <v>12.5</v>
      </c>
      <c r="AI17" s="53">
        <f t="shared" si="3"/>
        <v>12.4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11.8</v>
      </c>
      <c r="C18" s="50">
        <v>11.8</v>
      </c>
      <c r="D18" s="50">
        <v>11.8</v>
      </c>
      <c r="E18" s="50">
        <v>11.8</v>
      </c>
      <c r="F18" s="50">
        <v>11.8</v>
      </c>
      <c r="G18" s="50">
        <v>11.8</v>
      </c>
      <c r="H18" s="50">
        <v>11.8</v>
      </c>
      <c r="I18" s="50">
        <v>11.8</v>
      </c>
      <c r="J18" s="50">
        <v>11.8</v>
      </c>
      <c r="K18" s="50">
        <v>11.8</v>
      </c>
      <c r="L18" s="50">
        <v>11.8</v>
      </c>
      <c r="M18" s="50">
        <v>11.8</v>
      </c>
      <c r="N18" s="50">
        <v>11.8</v>
      </c>
      <c r="O18" s="50">
        <v>11.8</v>
      </c>
      <c r="P18" s="50">
        <v>11.8</v>
      </c>
      <c r="Q18" s="50">
        <v>9.8000000000000007</v>
      </c>
      <c r="R18" s="50">
        <v>9.9</v>
      </c>
      <c r="S18" s="50">
        <v>9.9</v>
      </c>
      <c r="T18" s="50">
        <v>9.9</v>
      </c>
      <c r="U18" s="50">
        <v>9.9</v>
      </c>
      <c r="V18" s="50">
        <v>9.9</v>
      </c>
      <c r="W18" s="50">
        <v>9.9</v>
      </c>
      <c r="X18" s="50">
        <v>9.9</v>
      </c>
      <c r="Y18" s="50">
        <v>9.9</v>
      </c>
      <c r="Z18" s="50">
        <v>9.9</v>
      </c>
      <c r="AA18" s="50">
        <v>10.9</v>
      </c>
      <c r="AB18" s="50">
        <v>10.9</v>
      </c>
      <c r="AC18" s="50">
        <v>10.9</v>
      </c>
      <c r="AD18" s="50">
        <v>10.9</v>
      </c>
      <c r="AE18" s="50">
        <v>10.9</v>
      </c>
      <c r="AF18" s="50">
        <v>10.9</v>
      </c>
      <c r="AG18" s="56">
        <v>30</v>
      </c>
      <c r="AH18" s="52">
        <f t="shared" si="2"/>
        <v>11.8</v>
      </c>
      <c r="AI18" s="53">
        <f t="shared" si="3"/>
        <v>9.8000000000000007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7.2</v>
      </c>
      <c r="C19" s="50">
        <v>7.2</v>
      </c>
      <c r="D19" s="50">
        <v>7.2</v>
      </c>
      <c r="E19" s="50">
        <v>7.2</v>
      </c>
      <c r="F19" s="50">
        <v>7.8</v>
      </c>
      <c r="G19" s="50">
        <v>7.8</v>
      </c>
      <c r="H19" s="50">
        <v>7.8</v>
      </c>
      <c r="I19" s="50">
        <v>7.8</v>
      </c>
      <c r="J19" s="50">
        <v>7.8</v>
      </c>
      <c r="K19" s="50">
        <v>7.8</v>
      </c>
      <c r="L19" s="50">
        <v>7.8</v>
      </c>
      <c r="M19" s="50">
        <v>7.8</v>
      </c>
      <c r="N19" s="50">
        <v>7.8</v>
      </c>
      <c r="O19" s="50">
        <v>7.8</v>
      </c>
      <c r="P19" s="50">
        <v>7.8</v>
      </c>
      <c r="Q19" s="50">
        <v>6.5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6.6</v>
      </c>
      <c r="AA19" s="50">
        <v>7.1</v>
      </c>
      <c r="AB19" s="50">
        <v>7.1</v>
      </c>
      <c r="AC19" s="50">
        <v>7.1</v>
      </c>
      <c r="AD19" s="50">
        <v>7.1</v>
      </c>
      <c r="AE19" s="50">
        <v>7.1</v>
      </c>
      <c r="AF19" s="50">
        <v>7.1</v>
      </c>
      <c r="AG19" s="55">
        <v>24.2</v>
      </c>
      <c r="AH19" s="52">
        <f t="shared" si="2"/>
        <v>7.8</v>
      </c>
      <c r="AI19" s="53">
        <f t="shared" si="3"/>
        <v>6.5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10</v>
      </c>
      <c r="C20" s="50">
        <v>10</v>
      </c>
      <c r="D20" s="50">
        <v>10</v>
      </c>
      <c r="E20" s="50">
        <v>10</v>
      </c>
      <c r="F20" s="50">
        <v>10</v>
      </c>
      <c r="G20" s="50">
        <v>10</v>
      </c>
      <c r="H20" s="50">
        <v>10</v>
      </c>
      <c r="I20" s="50">
        <v>10</v>
      </c>
      <c r="J20" s="50">
        <v>10</v>
      </c>
      <c r="K20" s="50">
        <v>10</v>
      </c>
      <c r="L20" s="50">
        <v>10</v>
      </c>
      <c r="M20" s="50">
        <v>10</v>
      </c>
      <c r="N20" s="50">
        <v>10</v>
      </c>
      <c r="O20" s="50">
        <v>10</v>
      </c>
      <c r="P20" s="50">
        <v>10</v>
      </c>
      <c r="Q20" s="50">
        <v>10</v>
      </c>
      <c r="R20" s="50">
        <v>10</v>
      </c>
      <c r="S20" s="50">
        <v>10</v>
      </c>
      <c r="T20" s="50">
        <v>10</v>
      </c>
      <c r="U20" s="50">
        <v>10</v>
      </c>
      <c r="V20" s="50">
        <v>10</v>
      </c>
      <c r="W20" s="50">
        <v>10</v>
      </c>
      <c r="X20" s="50">
        <v>10</v>
      </c>
      <c r="Y20" s="50">
        <v>10</v>
      </c>
      <c r="Z20" s="50">
        <v>10</v>
      </c>
      <c r="AA20" s="50">
        <v>10</v>
      </c>
      <c r="AB20" s="50">
        <v>10</v>
      </c>
      <c r="AC20" s="50">
        <v>10</v>
      </c>
      <c r="AD20" s="50">
        <v>10</v>
      </c>
      <c r="AE20" s="50">
        <v>10</v>
      </c>
      <c r="AF20" s="50">
        <v>10</v>
      </c>
      <c r="AG20" s="55">
        <v>28</v>
      </c>
      <c r="AH20" s="52">
        <f t="shared" si="2"/>
        <v>10</v>
      </c>
      <c r="AI20" s="53">
        <f t="shared" si="3"/>
        <v>10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6.8</v>
      </c>
      <c r="C21" s="50">
        <v>6.8</v>
      </c>
      <c r="D21" s="50">
        <v>6.8</v>
      </c>
      <c r="E21" s="50">
        <v>6.8</v>
      </c>
      <c r="F21" s="50">
        <v>6.8</v>
      </c>
      <c r="G21" s="50">
        <v>6.8</v>
      </c>
      <c r="H21" s="50">
        <v>6.8</v>
      </c>
      <c r="I21" s="50">
        <v>6.8</v>
      </c>
      <c r="J21" s="50">
        <v>6.8</v>
      </c>
      <c r="K21" s="50">
        <v>6.8</v>
      </c>
      <c r="L21" s="50">
        <v>6.8</v>
      </c>
      <c r="M21" s="50">
        <v>6.8</v>
      </c>
      <c r="N21" s="50">
        <v>6.8</v>
      </c>
      <c r="O21" s="50">
        <v>6.8</v>
      </c>
      <c r="P21" s="50">
        <v>6.8</v>
      </c>
      <c r="Q21" s="50">
        <v>6.8</v>
      </c>
      <c r="R21" s="50">
        <v>6.8</v>
      </c>
      <c r="S21" s="50">
        <v>6.8</v>
      </c>
      <c r="T21" s="50">
        <v>6.8</v>
      </c>
      <c r="U21" s="50">
        <v>6.8</v>
      </c>
      <c r="V21" s="50">
        <v>6.8</v>
      </c>
      <c r="W21" s="50">
        <v>6.8</v>
      </c>
      <c r="X21" s="50">
        <v>6.8</v>
      </c>
      <c r="Y21" s="50">
        <v>6.8</v>
      </c>
      <c r="Z21" s="50">
        <v>6.8</v>
      </c>
      <c r="AA21" s="50">
        <v>6.8</v>
      </c>
      <c r="AB21" s="50">
        <v>6.8</v>
      </c>
      <c r="AC21" s="50">
        <v>6.8</v>
      </c>
      <c r="AD21" s="50">
        <v>6.8</v>
      </c>
      <c r="AE21" s="50">
        <v>6.8</v>
      </c>
      <c r="AF21" s="50">
        <v>6.8</v>
      </c>
      <c r="AG21" s="56">
        <v>30</v>
      </c>
      <c r="AH21" s="52">
        <f t="shared" si="2"/>
        <v>6.8</v>
      </c>
      <c r="AI21" s="53">
        <f t="shared" si="3"/>
        <v>6.8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12.8</v>
      </c>
      <c r="C22" s="50">
        <v>12.8</v>
      </c>
      <c r="D22" s="50">
        <v>12.8</v>
      </c>
      <c r="E22" s="50">
        <v>12.8</v>
      </c>
      <c r="F22" s="50">
        <v>12.8</v>
      </c>
      <c r="G22" s="50">
        <v>12.8</v>
      </c>
      <c r="H22" s="50">
        <v>12.8</v>
      </c>
      <c r="I22" s="50">
        <v>12.8</v>
      </c>
      <c r="J22" s="50">
        <v>12.8</v>
      </c>
      <c r="K22" s="50">
        <v>12.8</v>
      </c>
      <c r="L22" s="50">
        <v>12.8</v>
      </c>
      <c r="M22" s="50">
        <v>12.8</v>
      </c>
      <c r="N22" s="50">
        <v>12.8</v>
      </c>
      <c r="O22" s="50">
        <v>12.8</v>
      </c>
      <c r="P22" s="50">
        <v>12.8</v>
      </c>
      <c r="Q22" s="50">
        <v>10.5</v>
      </c>
      <c r="R22" s="50">
        <v>11</v>
      </c>
      <c r="S22" s="50">
        <v>11</v>
      </c>
      <c r="T22" s="50">
        <v>11</v>
      </c>
      <c r="U22" s="50">
        <v>11</v>
      </c>
      <c r="V22" s="50">
        <v>11</v>
      </c>
      <c r="W22" s="50">
        <v>11</v>
      </c>
      <c r="X22" s="50">
        <v>11</v>
      </c>
      <c r="Y22" s="50">
        <v>11</v>
      </c>
      <c r="Z22" s="50">
        <v>11</v>
      </c>
      <c r="AA22" s="50">
        <v>11</v>
      </c>
      <c r="AB22" s="50">
        <v>11</v>
      </c>
      <c r="AC22" s="50">
        <v>11</v>
      </c>
      <c r="AD22" s="50">
        <v>11</v>
      </c>
      <c r="AE22" s="50">
        <v>11</v>
      </c>
      <c r="AF22" s="50">
        <v>11</v>
      </c>
      <c r="AG22" s="55">
        <v>25</v>
      </c>
      <c r="AH22" s="52">
        <f t="shared" si="2"/>
        <v>12.8</v>
      </c>
      <c r="AI22" s="53">
        <f t="shared" si="3"/>
        <v>10.5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16</v>
      </c>
      <c r="C23" s="50">
        <v>16</v>
      </c>
      <c r="D23" s="50">
        <v>16</v>
      </c>
      <c r="E23" s="50">
        <v>16</v>
      </c>
      <c r="F23" s="50">
        <v>16</v>
      </c>
      <c r="G23" s="50">
        <v>16</v>
      </c>
      <c r="H23" s="50">
        <v>16</v>
      </c>
      <c r="I23" s="50">
        <v>16</v>
      </c>
      <c r="J23" s="50">
        <v>16</v>
      </c>
      <c r="K23" s="50">
        <v>16</v>
      </c>
      <c r="L23" s="50">
        <v>16</v>
      </c>
      <c r="M23" s="50">
        <v>21</v>
      </c>
      <c r="N23" s="50">
        <v>21</v>
      </c>
      <c r="O23" s="50">
        <v>21</v>
      </c>
      <c r="P23" s="50">
        <v>21</v>
      </c>
      <c r="Q23" s="50">
        <v>21</v>
      </c>
      <c r="R23" s="50">
        <v>21</v>
      </c>
      <c r="S23" s="50">
        <v>16</v>
      </c>
      <c r="T23" s="50">
        <v>16</v>
      </c>
      <c r="U23" s="50">
        <v>16</v>
      </c>
      <c r="V23" s="50">
        <v>13</v>
      </c>
      <c r="W23" s="50">
        <v>13</v>
      </c>
      <c r="X23" s="50">
        <v>13</v>
      </c>
      <c r="Y23" s="50">
        <v>13</v>
      </c>
      <c r="Z23" s="50">
        <v>13</v>
      </c>
      <c r="AA23" s="50">
        <v>13</v>
      </c>
      <c r="AB23" s="50">
        <v>13</v>
      </c>
      <c r="AC23" s="50">
        <v>13</v>
      </c>
      <c r="AD23" s="50">
        <v>13</v>
      </c>
      <c r="AE23" s="50">
        <v>13</v>
      </c>
      <c r="AF23" s="50">
        <v>13</v>
      </c>
      <c r="AG23" s="55">
        <v>25</v>
      </c>
      <c r="AH23" s="52">
        <f t="shared" si="2"/>
        <v>21</v>
      </c>
      <c r="AI23" s="53">
        <f t="shared" si="3"/>
        <v>13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12</v>
      </c>
      <c r="C25" s="50">
        <v>12</v>
      </c>
      <c r="D25" s="50">
        <v>12</v>
      </c>
      <c r="E25" s="50">
        <v>12</v>
      </c>
      <c r="F25" s="50">
        <v>12</v>
      </c>
      <c r="G25" s="50">
        <v>12</v>
      </c>
      <c r="H25" s="50">
        <v>12</v>
      </c>
      <c r="I25" s="50">
        <v>12</v>
      </c>
      <c r="J25" s="50">
        <v>12</v>
      </c>
      <c r="K25" s="50">
        <v>12</v>
      </c>
      <c r="L25" s="50">
        <v>12</v>
      </c>
      <c r="M25" s="50">
        <v>12</v>
      </c>
      <c r="N25" s="50">
        <v>12</v>
      </c>
      <c r="O25" s="50">
        <v>12</v>
      </c>
      <c r="P25" s="50">
        <v>12</v>
      </c>
      <c r="Q25" s="50">
        <v>12</v>
      </c>
      <c r="R25" s="50">
        <v>11</v>
      </c>
      <c r="S25" s="50">
        <v>11</v>
      </c>
      <c r="T25" s="50">
        <v>11</v>
      </c>
      <c r="U25" s="50">
        <v>11</v>
      </c>
      <c r="V25" s="50">
        <v>11</v>
      </c>
      <c r="W25" s="50">
        <v>11</v>
      </c>
      <c r="X25" s="50">
        <v>11</v>
      </c>
      <c r="Y25" s="50">
        <v>11</v>
      </c>
      <c r="Z25" s="50">
        <v>11</v>
      </c>
      <c r="AA25" s="50">
        <v>11</v>
      </c>
      <c r="AB25" s="50">
        <v>11</v>
      </c>
      <c r="AC25" s="50">
        <v>11</v>
      </c>
      <c r="AD25" s="50">
        <v>11</v>
      </c>
      <c r="AE25" s="50">
        <v>11</v>
      </c>
      <c r="AF25" s="50">
        <v>11</v>
      </c>
      <c r="AG25" s="55">
        <v>25</v>
      </c>
      <c r="AH25" s="52">
        <f t="shared" si="2"/>
        <v>12</v>
      </c>
      <c r="AI25" s="53">
        <f t="shared" si="3"/>
        <v>11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6.3</v>
      </c>
      <c r="C26" s="50">
        <v>6.3</v>
      </c>
      <c r="D26" s="50">
        <v>6.3</v>
      </c>
      <c r="E26" s="50">
        <v>6.3</v>
      </c>
      <c r="F26" s="50">
        <v>6.3</v>
      </c>
      <c r="G26" s="50">
        <v>6.3</v>
      </c>
      <c r="H26" s="50">
        <v>6.3</v>
      </c>
      <c r="I26" s="50">
        <v>6.3</v>
      </c>
      <c r="J26" s="50">
        <v>6.3</v>
      </c>
      <c r="K26" s="50">
        <v>6.3</v>
      </c>
      <c r="L26" s="50">
        <v>6.3</v>
      </c>
      <c r="M26" s="50">
        <v>6.3</v>
      </c>
      <c r="N26" s="50">
        <v>6.3</v>
      </c>
      <c r="O26" s="50">
        <v>6.3</v>
      </c>
      <c r="P26" s="50">
        <v>6.3</v>
      </c>
      <c r="Q26" s="50">
        <v>6.5</v>
      </c>
      <c r="R26" s="50">
        <v>6.5</v>
      </c>
      <c r="S26" s="50">
        <v>6.5</v>
      </c>
      <c r="T26" s="50">
        <v>6.5</v>
      </c>
      <c r="U26" s="50">
        <v>6.5</v>
      </c>
      <c r="V26" s="50">
        <v>6.5</v>
      </c>
      <c r="W26" s="50">
        <v>6.5</v>
      </c>
      <c r="X26" s="50">
        <v>6.5</v>
      </c>
      <c r="Y26" s="50">
        <v>6.5</v>
      </c>
      <c r="Z26" s="50">
        <v>6.5</v>
      </c>
      <c r="AA26" s="50">
        <v>6.5</v>
      </c>
      <c r="AB26" s="50">
        <v>6.5</v>
      </c>
      <c r="AC26" s="50">
        <v>6.5</v>
      </c>
      <c r="AD26" s="50">
        <v>6.5</v>
      </c>
      <c r="AE26" s="50">
        <v>6.5</v>
      </c>
      <c r="AF26" s="50">
        <v>6.5</v>
      </c>
      <c r="AG26" s="55">
        <v>23.5</v>
      </c>
      <c r="AH26" s="52">
        <f t="shared" si="2"/>
        <v>6.5</v>
      </c>
      <c r="AI26" s="53">
        <f t="shared" si="3"/>
        <v>6.3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3.5</v>
      </c>
      <c r="C27" s="50">
        <v>3.5</v>
      </c>
      <c r="D27" s="50">
        <v>3.5</v>
      </c>
      <c r="E27" s="50">
        <v>3.5</v>
      </c>
      <c r="F27" s="50">
        <v>3.5</v>
      </c>
      <c r="G27" s="50">
        <v>3.5</v>
      </c>
      <c r="H27" s="50">
        <v>3.5</v>
      </c>
      <c r="I27" s="50">
        <v>3.5</v>
      </c>
      <c r="J27" s="50">
        <v>3.5</v>
      </c>
      <c r="K27" s="50">
        <v>3.5</v>
      </c>
      <c r="L27" s="50">
        <v>3.5</v>
      </c>
      <c r="M27" s="50">
        <v>3.5</v>
      </c>
      <c r="N27" s="50">
        <v>3.5</v>
      </c>
      <c r="O27" s="50">
        <v>3.5</v>
      </c>
      <c r="P27" s="50">
        <v>3.5</v>
      </c>
      <c r="Q27" s="50">
        <v>3.5</v>
      </c>
      <c r="R27" s="50">
        <v>3.4</v>
      </c>
      <c r="S27" s="50">
        <v>3.4</v>
      </c>
      <c r="T27" s="50">
        <v>3.4</v>
      </c>
      <c r="U27" s="50">
        <v>3.4</v>
      </c>
      <c r="V27" s="50">
        <v>3.4</v>
      </c>
      <c r="W27" s="50">
        <v>3.4</v>
      </c>
      <c r="X27" s="50">
        <v>3.4</v>
      </c>
      <c r="Y27" s="50">
        <v>3.4</v>
      </c>
      <c r="Z27" s="50">
        <v>3.4</v>
      </c>
      <c r="AA27" s="50">
        <v>3.4</v>
      </c>
      <c r="AB27" s="50">
        <v>3.4</v>
      </c>
      <c r="AC27" s="50">
        <v>3.4</v>
      </c>
      <c r="AD27" s="50">
        <v>3.4</v>
      </c>
      <c r="AE27" s="50">
        <v>3.4</v>
      </c>
      <c r="AF27" s="50">
        <v>3.4</v>
      </c>
      <c r="AG27" s="55">
        <v>22.2</v>
      </c>
      <c r="AH27" s="52">
        <f t="shared" si="2"/>
        <v>3.5</v>
      </c>
      <c r="AI27" s="53">
        <f t="shared" si="3"/>
        <v>3.4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3</v>
      </c>
      <c r="C29" s="50">
        <v>3</v>
      </c>
      <c r="D29" s="50">
        <v>3</v>
      </c>
      <c r="E29" s="50">
        <v>3</v>
      </c>
      <c r="F29" s="50">
        <v>3</v>
      </c>
      <c r="G29" s="50">
        <v>3</v>
      </c>
      <c r="H29" s="50">
        <v>3</v>
      </c>
      <c r="I29" s="50">
        <v>3</v>
      </c>
      <c r="J29" s="50">
        <v>3</v>
      </c>
      <c r="K29" s="50">
        <v>3</v>
      </c>
      <c r="L29" s="50">
        <v>3</v>
      </c>
      <c r="M29" s="50">
        <v>3</v>
      </c>
      <c r="N29" s="50">
        <v>3</v>
      </c>
      <c r="O29" s="50">
        <v>3</v>
      </c>
      <c r="P29" s="50">
        <v>3</v>
      </c>
      <c r="Q29" s="50">
        <v>3</v>
      </c>
      <c r="R29" s="50">
        <v>3</v>
      </c>
      <c r="S29" s="50">
        <v>3</v>
      </c>
      <c r="T29" s="50">
        <v>3</v>
      </c>
      <c r="U29" s="50">
        <v>3</v>
      </c>
      <c r="V29" s="50">
        <v>3</v>
      </c>
      <c r="W29" s="50">
        <v>3</v>
      </c>
      <c r="X29" s="50">
        <v>3</v>
      </c>
      <c r="Y29" s="50">
        <v>3</v>
      </c>
      <c r="Z29" s="50">
        <v>3</v>
      </c>
      <c r="AA29" s="50">
        <v>3</v>
      </c>
      <c r="AB29" s="50">
        <v>3</v>
      </c>
      <c r="AC29" s="50">
        <v>3</v>
      </c>
      <c r="AD29" s="50">
        <v>3</v>
      </c>
      <c r="AE29" s="50">
        <v>3</v>
      </c>
      <c r="AF29" s="50">
        <v>3</v>
      </c>
      <c r="AG29" s="55">
        <v>22</v>
      </c>
      <c r="AH29" s="52">
        <f t="shared" si="2"/>
        <v>3</v>
      </c>
      <c r="AI29" s="53">
        <f t="shared" si="3"/>
        <v>3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8.5</v>
      </c>
      <c r="C30" s="50">
        <v>8.5</v>
      </c>
      <c r="D30" s="50">
        <v>8.5</v>
      </c>
      <c r="E30" s="50">
        <v>8.5</v>
      </c>
      <c r="F30" s="50">
        <v>8.5</v>
      </c>
      <c r="G30" s="50">
        <v>8.5</v>
      </c>
      <c r="H30" s="50">
        <v>8.5</v>
      </c>
      <c r="I30" s="50">
        <v>8.5</v>
      </c>
      <c r="J30" s="50">
        <v>8.5</v>
      </c>
      <c r="K30" s="50">
        <v>8.5</v>
      </c>
      <c r="L30" s="50">
        <v>8.5</v>
      </c>
      <c r="M30" s="50">
        <v>8.5</v>
      </c>
      <c r="N30" s="50">
        <v>8.5</v>
      </c>
      <c r="O30" s="50">
        <v>8.5</v>
      </c>
      <c r="P30" s="50">
        <v>8.5</v>
      </c>
      <c r="Q30" s="50">
        <v>7.3</v>
      </c>
      <c r="R30" s="50">
        <v>7</v>
      </c>
      <c r="S30" s="50">
        <v>7</v>
      </c>
      <c r="T30" s="50">
        <v>7</v>
      </c>
      <c r="U30" s="50">
        <v>7</v>
      </c>
      <c r="V30" s="50">
        <v>7</v>
      </c>
      <c r="W30" s="50">
        <v>7</v>
      </c>
      <c r="X30" s="50">
        <v>7</v>
      </c>
      <c r="Y30" s="50">
        <v>7</v>
      </c>
      <c r="Z30" s="50">
        <v>7</v>
      </c>
      <c r="AA30" s="50">
        <v>7</v>
      </c>
      <c r="AB30" s="50">
        <v>7</v>
      </c>
      <c r="AC30" s="50">
        <v>7</v>
      </c>
      <c r="AD30" s="50">
        <v>7</v>
      </c>
      <c r="AE30" s="50">
        <v>7</v>
      </c>
      <c r="AF30" s="50">
        <v>7</v>
      </c>
      <c r="AG30" s="55">
        <v>22</v>
      </c>
      <c r="AH30" s="52">
        <f t="shared" si="2"/>
        <v>8.5</v>
      </c>
      <c r="AI30" s="53">
        <f t="shared" si="3"/>
        <v>7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8</v>
      </c>
      <c r="C31" s="50">
        <v>8</v>
      </c>
      <c r="D31" s="50">
        <v>8</v>
      </c>
      <c r="E31" s="50">
        <v>8</v>
      </c>
      <c r="F31" s="50">
        <v>8</v>
      </c>
      <c r="G31" s="50">
        <v>8</v>
      </c>
      <c r="H31" s="50">
        <v>8</v>
      </c>
      <c r="I31" s="50">
        <v>8</v>
      </c>
      <c r="J31" s="50">
        <v>8</v>
      </c>
      <c r="K31" s="50">
        <v>8</v>
      </c>
      <c r="L31" s="50">
        <v>8</v>
      </c>
      <c r="M31" s="50">
        <v>8</v>
      </c>
      <c r="N31" s="50">
        <v>8</v>
      </c>
      <c r="O31" s="50">
        <v>8</v>
      </c>
      <c r="P31" s="50">
        <v>8</v>
      </c>
      <c r="Q31" s="50">
        <v>8</v>
      </c>
      <c r="R31" s="50">
        <v>8</v>
      </c>
      <c r="S31" s="50">
        <v>8</v>
      </c>
      <c r="T31" s="50">
        <v>8</v>
      </c>
      <c r="U31" s="50">
        <v>8</v>
      </c>
      <c r="V31" s="50">
        <v>8</v>
      </c>
      <c r="W31" s="50">
        <v>8</v>
      </c>
      <c r="X31" s="50">
        <v>8</v>
      </c>
      <c r="Y31" s="50">
        <v>8</v>
      </c>
      <c r="Z31" s="50">
        <v>8</v>
      </c>
      <c r="AA31" s="50">
        <v>8</v>
      </c>
      <c r="AB31" s="50">
        <v>8</v>
      </c>
      <c r="AC31" s="50">
        <v>8</v>
      </c>
      <c r="AD31" s="50">
        <v>8</v>
      </c>
      <c r="AE31" s="50">
        <v>8</v>
      </c>
      <c r="AF31" s="50">
        <v>8</v>
      </c>
      <c r="AG31" s="55">
        <v>20</v>
      </c>
      <c r="AH31" s="52">
        <f t="shared" si="2"/>
        <v>8</v>
      </c>
      <c r="AI31" s="53">
        <f t="shared" si="3"/>
        <v>8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6.4</v>
      </c>
      <c r="C32" s="50">
        <v>6.4</v>
      </c>
      <c r="D32" s="50">
        <v>6.4</v>
      </c>
      <c r="E32" s="50">
        <v>6.4</v>
      </c>
      <c r="F32" s="50">
        <v>6.4</v>
      </c>
      <c r="G32" s="50">
        <v>6.4</v>
      </c>
      <c r="H32" s="50">
        <v>6.4</v>
      </c>
      <c r="I32" s="50">
        <v>6.4</v>
      </c>
      <c r="J32" s="50">
        <v>6.4</v>
      </c>
      <c r="K32" s="50">
        <v>6.4</v>
      </c>
      <c r="L32" s="50">
        <v>6.4</v>
      </c>
      <c r="M32" s="50">
        <v>6.4</v>
      </c>
      <c r="N32" s="50">
        <v>6.4</v>
      </c>
      <c r="O32" s="50">
        <v>6.4</v>
      </c>
      <c r="P32" s="50">
        <v>6.4</v>
      </c>
      <c r="Q32" s="50">
        <v>6.4</v>
      </c>
      <c r="R32" s="50">
        <v>6.4</v>
      </c>
      <c r="S32" s="50">
        <v>6.4</v>
      </c>
      <c r="T32" s="50">
        <v>6.4</v>
      </c>
      <c r="U32" s="50">
        <v>6.4</v>
      </c>
      <c r="V32" s="50">
        <v>6.4</v>
      </c>
      <c r="W32" s="50">
        <v>6.4</v>
      </c>
      <c r="X32" s="50">
        <v>6.4</v>
      </c>
      <c r="Y32" s="50">
        <v>6.4</v>
      </c>
      <c r="Z32" s="50">
        <v>6.4</v>
      </c>
      <c r="AA32" s="50">
        <v>6.4</v>
      </c>
      <c r="AB32" s="50">
        <v>6.4</v>
      </c>
      <c r="AC32" s="50">
        <v>6.4</v>
      </c>
      <c r="AD32" s="50">
        <v>6.4</v>
      </c>
      <c r="AE32" s="50">
        <v>6.4</v>
      </c>
      <c r="AF32" s="50">
        <v>6.4</v>
      </c>
      <c r="AG32" s="55">
        <v>18</v>
      </c>
      <c r="AH32" s="52">
        <f t="shared" si="2"/>
        <v>6.4</v>
      </c>
      <c r="AI32" s="53">
        <f t="shared" si="3"/>
        <v>6.4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8.9</v>
      </c>
      <c r="C33" s="50">
        <v>8.9</v>
      </c>
      <c r="D33" s="50">
        <v>8.9</v>
      </c>
      <c r="E33" s="50">
        <v>8.9</v>
      </c>
      <c r="F33" s="50">
        <v>8.9</v>
      </c>
      <c r="G33" s="50">
        <v>8.9</v>
      </c>
      <c r="H33" s="50">
        <v>8.9</v>
      </c>
      <c r="I33" s="50">
        <v>8.9</v>
      </c>
      <c r="J33" s="50">
        <v>8.9</v>
      </c>
      <c r="K33" s="50">
        <v>8.9</v>
      </c>
      <c r="L33" s="50">
        <v>8.9</v>
      </c>
      <c r="M33" s="50">
        <v>8.9</v>
      </c>
      <c r="N33" s="50">
        <v>8.9</v>
      </c>
      <c r="O33" s="50">
        <v>8.9</v>
      </c>
      <c r="P33" s="50">
        <v>8.9</v>
      </c>
      <c r="Q33" s="50">
        <v>8.9</v>
      </c>
      <c r="R33" s="50">
        <v>8.9</v>
      </c>
      <c r="S33" s="50">
        <v>8.9</v>
      </c>
      <c r="T33" s="50">
        <v>8.9</v>
      </c>
      <c r="U33" s="50">
        <v>8.9</v>
      </c>
      <c r="V33" s="50">
        <v>8.9</v>
      </c>
      <c r="W33" s="50">
        <v>8.9</v>
      </c>
      <c r="X33" s="50">
        <v>8.9</v>
      </c>
      <c r="Y33" s="50">
        <v>8.9</v>
      </c>
      <c r="Z33" s="50">
        <v>8.9</v>
      </c>
      <c r="AA33" s="50">
        <v>8.9</v>
      </c>
      <c r="AB33" s="50">
        <v>8.9</v>
      </c>
      <c r="AC33" s="50">
        <v>8.9</v>
      </c>
      <c r="AD33" s="50">
        <v>8.9</v>
      </c>
      <c r="AE33" s="50">
        <v>8.9</v>
      </c>
      <c r="AF33" s="50">
        <v>8.9</v>
      </c>
      <c r="AG33" s="55">
        <v>14.9</v>
      </c>
      <c r="AH33" s="52">
        <f t="shared" si="2"/>
        <v>8.9</v>
      </c>
      <c r="AI33" s="53">
        <f t="shared" si="3"/>
        <v>8.9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4</v>
      </c>
      <c r="C38" s="50">
        <v>4</v>
      </c>
      <c r="D38" s="50">
        <v>4</v>
      </c>
      <c r="E38" s="50">
        <v>4</v>
      </c>
      <c r="F38" s="50">
        <v>4</v>
      </c>
      <c r="G38" s="50">
        <v>4</v>
      </c>
      <c r="H38" s="50">
        <v>4</v>
      </c>
      <c r="I38" s="50">
        <v>4</v>
      </c>
      <c r="J38" s="50">
        <v>4</v>
      </c>
      <c r="K38" s="50">
        <v>4</v>
      </c>
      <c r="L38" s="50">
        <v>4</v>
      </c>
      <c r="M38" s="50">
        <v>4</v>
      </c>
      <c r="N38" s="50">
        <v>4</v>
      </c>
      <c r="O38" s="50">
        <v>4</v>
      </c>
      <c r="P38" s="50">
        <v>4</v>
      </c>
      <c r="Q38" s="50">
        <v>4</v>
      </c>
      <c r="R38" s="50">
        <v>4</v>
      </c>
      <c r="S38" s="50">
        <v>4</v>
      </c>
      <c r="T38" s="50">
        <v>4</v>
      </c>
      <c r="U38" s="50">
        <v>4</v>
      </c>
      <c r="V38" s="50">
        <v>4</v>
      </c>
      <c r="W38" s="50">
        <v>4</v>
      </c>
      <c r="X38" s="50">
        <v>4</v>
      </c>
      <c r="Y38" s="50">
        <v>4</v>
      </c>
      <c r="Z38" s="50">
        <v>4</v>
      </c>
      <c r="AA38" s="50">
        <v>4</v>
      </c>
      <c r="AB38" s="50">
        <v>4</v>
      </c>
      <c r="AC38" s="50">
        <v>4</v>
      </c>
      <c r="AD38" s="50">
        <v>4</v>
      </c>
      <c r="AE38" s="50">
        <v>4</v>
      </c>
      <c r="AF38" s="50">
        <v>4</v>
      </c>
      <c r="AG38" s="55">
        <v>12</v>
      </c>
      <c r="AH38" s="52">
        <f t="shared" si="2"/>
        <v>4</v>
      </c>
      <c r="AI38" s="53">
        <f t="shared" si="3"/>
        <v>4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2</v>
      </c>
      <c r="I40" s="50">
        <v>2</v>
      </c>
      <c r="J40" s="50">
        <v>2</v>
      </c>
      <c r="K40" s="50">
        <v>2</v>
      </c>
      <c r="L40" s="50">
        <v>2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>
        <v>2</v>
      </c>
      <c r="T40" s="50">
        <v>2</v>
      </c>
      <c r="U40" s="50">
        <v>2</v>
      </c>
      <c r="V40" s="50">
        <v>2</v>
      </c>
      <c r="W40" s="50">
        <v>2</v>
      </c>
      <c r="X40" s="50">
        <v>2</v>
      </c>
      <c r="Y40" s="50">
        <v>2</v>
      </c>
      <c r="Z40" s="50">
        <v>2</v>
      </c>
      <c r="AA40" s="50">
        <v>2</v>
      </c>
      <c r="AB40" s="50">
        <v>2</v>
      </c>
      <c r="AC40" s="50">
        <v>2</v>
      </c>
      <c r="AD40" s="50">
        <v>2</v>
      </c>
      <c r="AE40" s="50">
        <v>2</v>
      </c>
      <c r="AF40" s="50">
        <v>2</v>
      </c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3.6</v>
      </c>
      <c r="C42" s="50">
        <v>3.6</v>
      </c>
      <c r="D42" s="50">
        <v>3.6</v>
      </c>
      <c r="E42" s="50">
        <v>3.6</v>
      </c>
      <c r="F42" s="50">
        <v>3.6</v>
      </c>
      <c r="G42" s="50">
        <v>3.6</v>
      </c>
      <c r="H42" s="50">
        <v>3.6</v>
      </c>
      <c r="I42" s="50">
        <v>3.6</v>
      </c>
      <c r="J42" s="50">
        <v>3.6</v>
      </c>
      <c r="K42" s="50">
        <v>3.6</v>
      </c>
      <c r="L42" s="50">
        <v>3.6</v>
      </c>
      <c r="M42" s="50">
        <v>3.6</v>
      </c>
      <c r="N42" s="50">
        <v>3.6</v>
      </c>
      <c r="O42" s="50">
        <v>3.6</v>
      </c>
      <c r="P42" s="50">
        <v>3.6</v>
      </c>
      <c r="Q42" s="50">
        <v>3.6</v>
      </c>
      <c r="R42" s="50">
        <v>3.6</v>
      </c>
      <c r="S42" s="50">
        <v>3.6</v>
      </c>
      <c r="T42" s="50">
        <v>3.6</v>
      </c>
      <c r="U42" s="50">
        <v>3.6</v>
      </c>
      <c r="V42" s="50">
        <v>3.6</v>
      </c>
      <c r="W42" s="50">
        <v>3.6</v>
      </c>
      <c r="X42" s="50">
        <v>3.6</v>
      </c>
      <c r="Y42" s="50">
        <v>3.6</v>
      </c>
      <c r="Z42" s="50">
        <v>3.6</v>
      </c>
      <c r="AA42" s="50">
        <v>3.6</v>
      </c>
      <c r="AB42" s="50">
        <v>3.6</v>
      </c>
      <c r="AC42" s="50">
        <v>3.6</v>
      </c>
      <c r="AD42" s="50">
        <v>3.6</v>
      </c>
      <c r="AE42" s="50">
        <v>3.6</v>
      </c>
      <c r="AF42" s="50">
        <v>3.6</v>
      </c>
      <c r="AG42" s="61">
        <v>11</v>
      </c>
      <c r="AH42" s="52">
        <f t="shared" si="2"/>
        <v>3.6</v>
      </c>
      <c r="AI42" s="53">
        <f t="shared" si="3"/>
        <v>3.6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5</v>
      </c>
      <c r="C43" s="50">
        <v>5</v>
      </c>
      <c r="D43" s="50">
        <v>5</v>
      </c>
      <c r="E43" s="50">
        <v>5</v>
      </c>
      <c r="F43" s="50">
        <v>5</v>
      </c>
      <c r="G43" s="50">
        <v>5</v>
      </c>
      <c r="H43" s="50">
        <v>5</v>
      </c>
      <c r="I43" s="50">
        <v>5</v>
      </c>
      <c r="J43" s="50">
        <v>5</v>
      </c>
      <c r="K43" s="50">
        <v>5</v>
      </c>
      <c r="L43" s="50">
        <v>5</v>
      </c>
      <c r="M43" s="50">
        <v>5</v>
      </c>
      <c r="N43" s="50">
        <v>5</v>
      </c>
      <c r="O43" s="50">
        <v>5</v>
      </c>
      <c r="P43" s="50">
        <v>5</v>
      </c>
      <c r="Q43" s="50">
        <v>5</v>
      </c>
      <c r="R43" s="50">
        <v>5</v>
      </c>
      <c r="S43" s="50">
        <v>5</v>
      </c>
      <c r="T43" s="50">
        <v>5</v>
      </c>
      <c r="U43" s="50">
        <v>5</v>
      </c>
      <c r="V43" s="50">
        <v>5</v>
      </c>
      <c r="W43" s="50">
        <v>5</v>
      </c>
      <c r="X43" s="50">
        <v>5</v>
      </c>
      <c r="Y43" s="50">
        <v>5</v>
      </c>
      <c r="Z43" s="50">
        <v>5</v>
      </c>
      <c r="AA43" s="50">
        <v>5</v>
      </c>
      <c r="AB43" s="50">
        <v>5</v>
      </c>
      <c r="AC43" s="50">
        <v>5</v>
      </c>
      <c r="AD43" s="50">
        <v>5</v>
      </c>
      <c r="AE43" s="50">
        <v>5</v>
      </c>
      <c r="AF43" s="50">
        <v>5</v>
      </c>
      <c r="AG43" s="61">
        <v>10</v>
      </c>
      <c r="AH43" s="52">
        <f t="shared" si="2"/>
        <v>5</v>
      </c>
      <c r="AI43" s="53">
        <f t="shared" si="3"/>
        <v>5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6.7</v>
      </c>
      <c r="C44" s="50">
        <v>6.7</v>
      </c>
      <c r="D44" s="50">
        <v>6.7</v>
      </c>
      <c r="E44" s="50">
        <v>6.7</v>
      </c>
      <c r="F44" s="50">
        <v>6.7</v>
      </c>
      <c r="G44" s="50">
        <v>6.7</v>
      </c>
      <c r="H44" s="50">
        <v>6.7</v>
      </c>
      <c r="I44" s="50">
        <v>6.7</v>
      </c>
      <c r="J44" s="50">
        <v>6.7</v>
      </c>
      <c r="K44" s="50">
        <v>6.7</v>
      </c>
      <c r="L44" s="50">
        <v>6.7</v>
      </c>
      <c r="M44" s="50">
        <v>6.7</v>
      </c>
      <c r="N44" s="50">
        <v>6.7</v>
      </c>
      <c r="O44" s="50">
        <v>6.7</v>
      </c>
      <c r="P44" s="50">
        <v>6.7</v>
      </c>
      <c r="Q44" s="50">
        <v>6.7</v>
      </c>
      <c r="R44" s="50">
        <v>6.7</v>
      </c>
      <c r="S44" s="50">
        <v>6.7</v>
      </c>
      <c r="T44" s="50">
        <v>6.7</v>
      </c>
      <c r="U44" s="50">
        <v>6.7</v>
      </c>
      <c r="V44" s="50">
        <v>6.7</v>
      </c>
      <c r="W44" s="50">
        <v>6.7</v>
      </c>
      <c r="X44" s="50">
        <v>6.7</v>
      </c>
      <c r="Y44" s="50">
        <v>6.7</v>
      </c>
      <c r="Z44" s="50">
        <v>6.7</v>
      </c>
      <c r="AA44" s="50">
        <v>6.7</v>
      </c>
      <c r="AB44" s="50">
        <v>6.7</v>
      </c>
      <c r="AC44" s="50">
        <v>6.7</v>
      </c>
      <c r="AD44" s="50">
        <v>6.7</v>
      </c>
      <c r="AE44" s="50">
        <v>6.7</v>
      </c>
      <c r="AF44" s="50">
        <v>6.7</v>
      </c>
      <c r="AG44" s="61">
        <v>10</v>
      </c>
      <c r="AH44" s="52">
        <f t="shared" si="2"/>
        <v>6.7</v>
      </c>
      <c r="AI44" s="53">
        <f t="shared" si="3"/>
        <v>6.7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150</v>
      </c>
      <c r="C46" s="63">
        <v>150</v>
      </c>
      <c r="D46" s="63">
        <v>150</v>
      </c>
      <c r="E46" s="63">
        <v>150</v>
      </c>
      <c r="F46" s="63">
        <v>150</v>
      </c>
      <c r="G46" s="63">
        <v>150</v>
      </c>
      <c r="H46" s="63">
        <v>150</v>
      </c>
      <c r="I46" s="63">
        <v>150</v>
      </c>
      <c r="J46" s="63">
        <v>150</v>
      </c>
      <c r="K46" s="63">
        <v>150</v>
      </c>
      <c r="L46" s="63">
        <v>150</v>
      </c>
      <c r="M46" s="63">
        <v>150</v>
      </c>
      <c r="N46" s="63">
        <v>150</v>
      </c>
      <c r="O46" s="63">
        <v>150</v>
      </c>
      <c r="P46" s="63">
        <v>150</v>
      </c>
      <c r="Q46" s="63">
        <v>150</v>
      </c>
      <c r="R46" s="63">
        <v>150</v>
      </c>
      <c r="S46" s="63">
        <v>150</v>
      </c>
      <c r="T46" s="63">
        <v>150</v>
      </c>
      <c r="U46" s="63">
        <v>150</v>
      </c>
      <c r="V46" s="63">
        <v>150</v>
      </c>
      <c r="W46" s="63">
        <v>150</v>
      </c>
      <c r="X46" s="63">
        <v>150</v>
      </c>
      <c r="Y46" s="63">
        <v>150</v>
      </c>
      <c r="Z46" s="63">
        <v>150</v>
      </c>
      <c r="AA46" s="63">
        <v>150</v>
      </c>
      <c r="AB46" s="63">
        <v>150</v>
      </c>
      <c r="AC46" s="63">
        <v>150</v>
      </c>
      <c r="AD46" s="63">
        <v>150</v>
      </c>
      <c r="AE46" s="63">
        <v>150</v>
      </c>
      <c r="AF46" s="63">
        <v>150</v>
      </c>
      <c r="AG46" s="61">
        <v>85</v>
      </c>
      <c r="AH46" s="52">
        <f t="shared" si="2"/>
        <v>150</v>
      </c>
      <c r="AI46" s="53">
        <f t="shared" si="3"/>
        <v>150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>SUM(B11:B46)</f>
        <v>472</v>
      </c>
      <c r="C48" s="67">
        <f t="shared" ref="C48:AF48" si="4">SUM(C11:C46)</f>
        <v>472</v>
      </c>
      <c r="D48" s="67">
        <f t="shared" si="4"/>
        <v>472</v>
      </c>
      <c r="E48" s="67">
        <f t="shared" si="4"/>
        <v>471.59999999999997</v>
      </c>
      <c r="F48" s="67">
        <f t="shared" si="4"/>
        <v>470.2</v>
      </c>
      <c r="G48" s="67">
        <f t="shared" si="4"/>
        <v>466.9</v>
      </c>
      <c r="H48" s="67">
        <f t="shared" si="4"/>
        <v>466.9</v>
      </c>
      <c r="I48" s="67">
        <f t="shared" si="4"/>
        <v>466.9</v>
      </c>
      <c r="J48" s="67">
        <f t="shared" si="4"/>
        <v>466.9</v>
      </c>
      <c r="K48" s="67">
        <f t="shared" si="4"/>
        <v>468</v>
      </c>
      <c r="L48" s="67">
        <f t="shared" si="4"/>
        <v>468</v>
      </c>
      <c r="M48" s="67">
        <f t="shared" si="4"/>
        <v>476.9</v>
      </c>
      <c r="N48" s="67">
        <f t="shared" si="4"/>
        <v>476.9</v>
      </c>
      <c r="O48" s="67">
        <f t="shared" si="4"/>
        <v>476.9</v>
      </c>
      <c r="P48" s="67">
        <f t="shared" si="4"/>
        <v>476.9</v>
      </c>
      <c r="Q48" s="67">
        <f t="shared" si="4"/>
        <v>463.2</v>
      </c>
      <c r="R48" s="67">
        <f t="shared" si="4"/>
        <v>463.09999999999997</v>
      </c>
      <c r="S48" s="67">
        <f t="shared" si="4"/>
        <v>453.5</v>
      </c>
      <c r="T48" s="67">
        <f t="shared" si="4"/>
        <v>453.5</v>
      </c>
      <c r="U48" s="67">
        <f t="shared" si="4"/>
        <v>453.5</v>
      </c>
      <c r="V48" s="67">
        <f t="shared" si="4"/>
        <v>450.5</v>
      </c>
      <c r="W48" s="67">
        <f t="shared" si="4"/>
        <v>450.5</v>
      </c>
      <c r="X48" s="67">
        <f t="shared" si="4"/>
        <v>450.5</v>
      </c>
      <c r="Y48" s="67">
        <f t="shared" si="4"/>
        <v>451.90000000000003</v>
      </c>
      <c r="Z48" s="67">
        <f t="shared" si="4"/>
        <v>451.90000000000003</v>
      </c>
      <c r="AA48" s="67">
        <f t="shared" si="4"/>
        <v>451.7</v>
      </c>
      <c r="AB48" s="67">
        <f t="shared" si="4"/>
        <v>451.7</v>
      </c>
      <c r="AC48" s="67">
        <f t="shared" si="4"/>
        <v>451.7</v>
      </c>
      <c r="AD48" s="67">
        <f t="shared" si="4"/>
        <v>451.7</v>
      </c>
      <c r="AE48" s="67">
        <f t="shared" si="4"/>
        <v>451.7</v>
      </c>
      <c r="AF48" s="67">
        <f t="shared" si="4"/>
        <v>451.7</v>
      </c>
      <c r="AG48" s="68">
        <f t="shared" ref="AG48" si="5">SUM(AG12:AG46)</f>
        <v>875.68</v>
      </c>
      <c r="AH48" s="52">
        <f t="shared" si="2"/>
        <v>476.9</v>
      </c>
      <c r="AI48" s="53">
        <f t="shared" si="3"/>
        <v>450.5</v>
      </c>
      <c r="AK48" s="54"/>
    </row>
    <row r="49" spans="1:41" x14ac:dyDescent="0.25">
      <c r="A49" s="69" t="s">
        <v>57</v>
      </c>
      <c r="B49" s="50">
        <v>160</v>
      </c>
      <c r="C49" s="50">
        <v>160</v>
      </c>
      <c r="D49" s="50">
        <v>80</v>
      </c>
      <c r="E49" s="50">
        <v>90</v>
      </c>
      <c r="F49" s="50">
        <v>80</v>
      </c>
      <c r="G49" s="50">
        <v>70</v>
      </c>
      <c r="H49" s="50">
        <v>50</v>
      </c>
      <c r="I49" s="50">
        <v>50</v>
      </c>
      <c r="J49" s="50">
        <v>50</v>
      </c>
      <c r="K49" s="50">
        <v>50</v>
      </c>
      <c r="L49" s="50">
        <v>50</v>
      </c>
      <c r="M49" s="50">
        <v>50</v>
      </c>
      <c r="N49" s="50">
        <v>20</v>
      </c>
      <c r="O49" s="50">
        <v>20</v>
      </c>
      <c r="P49" s="50">
        <v>0</v>
      </c>
      <c r="Q49" s="50">
        <v>90</v>
      </c>
      <c r="R49" s="50">
        <v>85</v>
      </c>
      <c r="S49" s="50">
        <v>90</v>
      </c>
      <c r="T49" s="50">
        <v>40</v>
      </c>
      <c r="U49" s="50">
        <v>40</v>
      </c>
      <c r="V49" s="50">
        <v>40</v>
      </c>
      <c r="W49" s="50">
        <v>60</v>
      </c>
      <c r="X49" s="50">
        <v>60</v>
      </c>
      <c r="Y49" s="50">
        <v>60</v>
      </c>
      <c r="Z49" s="50">
        <v>140</v>
      </c>
      <c r="AA49" s="50">
        <v>170</v>
      </c>
      <c r="AB49" s="50">
        <v>139</v>
      </c>
      <c r="AC49" s="50">
        <v>90</v>
      </c>
      <c r="AD49" s="50">
        <v>80</v>
      </c>
      <c r="AE49" s="50">
        <v>80</v>
      </c>
      <c r="AF49" s="50">
        <v>80</v>
      </c>
      <c r="AG49" s="56">
        <v>456</v>
      </c>
      <c r="AH49" s="52">
        <f t="shared" si="2"/>
        <v>170</v>
      </c>
      <c r="AI49" s="53">
        <f t="shared" si="3"/>
        <v>0</v>
      </c>
      <c r="AK49" s="54"/>
    </row>
    <row r="50" spans="1:41" x14ac:dyDescent="0.25">
      <c r="A50" s="71" t="s">
        <v>58</v>
      </c>
      <c r="B50" s="72">
        <v>32</v>
      </c>
      <c r="C50" s="72">
        <v>32</v>
      </c>
      <c r="D50" s="72">
        <v>32</v>
      </c>
      <c r="E50" s="72">
        <v>32</v>
      </c>
      <c r="F50" s="72">
        <v>32</v>
      </c>
      <c r="G50" s="72">
        <v>32</v>
      </c>
      <c r="H50" s="72">
        <v>32</v>
      </c>
      <c r="I50" s="72">
        <v>32</v>
      </c>
      <c r="J50" s="72">
        <v>32</v>
      </c>
      <c r="K50" s="72">
        <v>32</v>
      </c>
      <c r="L50" s="72">
        <v>32</v>
      </c>
      <c r="M50" s="72">
        <v>32</v>
      </c>
      <c r="N50" s="72">
        <v>32</v>
      </c>
      <c r="O50" s="72">
        <v>32</v>
      </c>
      <c r="P50" s="72">
        <v>32</v>
      </c>
      <c r="Q50" s="72">
        <v>32</v>
      </c>
      <c r="R50" s="72">
        <v>32</v>
      </c>
      <c r="S50" s="72">
        <v>32</v>
      </c>
      <c r="T50" s="72">
        <v>32</v>
      </c>
      <c r="U50" s="72">
        <v>32</v>
      </c>
      <c r="V50" s="72">
        <v>32</v>
      </c>
      <c r="W50" s="72">
        <v>32</v>
      </c>
      <c r="X50" s="72">
        <v>32</v>
      </c>
      <c r="Y50" s="72">
        <v>29.3</v>
      </c>
      <c r="Z50" s="72">
        <v>29</v>
      </c>
      <c r="AA50" s="72">
        <v>29</v>
      </c>
      <c r="AB50" s="72">
        <v>29</v>
      </c>
      <c r="AC50" s="72">
        <v>29</v>
      </c>
      <c r="AD50" s="72">
        <v>29</v>
      </c>
      <c r="AE50" s="72">
        <v>29</v>
      </c>
      <c r="AF50" s="72">
        <v>29</v>
      </c>
      <c r="AG50" s="61">
        <v>60</v>
      </c>
      <c r="AH50" s="52">
        <f t="shared" si="2"/>
        <v>32</v>
      </c>
      <c r="AI50" s="53">
        <f t="shared" si="3"/>
        <v>29</v>
      </c>
      <c r="AK50" s="54"/>
    </row>
    <row r="51" spans="1:41" ht="15.75" thickBot="1" x14ac:dyDescent="0.3">
      <c r="A51" s="73" t="s">
        <v>59</v>
      </c>
      <c r="B51" s="74">
        <v>12.7</v>
      </c>
      <c r="C51" s="74">
        <v>12.7</v>
      </c>
      <c r="D51" s="74">
        <v>12.7</v>
      </c>
      <c r="E51" s="74">
        <v>12.2</v>
      </c>
      <c r="F51" s="74">
        <v>12.3</v>
      </c>
      <c r="G51" s="74">
        <v>12.2</v>
      </c>
      <c r="H51" s="74">
        <v>12.2</v>
      </c>
      <c r="I51" s="74">
        <v>12.2</v>
      </c>
      <c r="J51" s="74">
        <v>12.2</v>
      </c>
      <c r="K51" s="74">
        <v>12.2</v>
      </c>
      <c r="L51" s="74">
        <v>12.2</v>
      </c>
      <c r="M51" s="74">
        <v>12.2</v>
      </c>
      <c r="N51" s="74">
        <v>12.2</v>
      </c>
      <c r="O51" s="74">
        <v>12.2</v>
      </c>
      <c r="P51" s="74">
        <v>12.2</v>
      </c>
      <c r="Q51" s="74">
        <v>12.2</v>
      </c>
      <c r="R51" s="74">
        <v>12.2</v>
      </c>
      <c r="S51" s="74">
        <v>12.2</v>
      </c>
      <c r="T51" s="74">
        <v>12.2</v>
      </c>
      <c r="U51" s="74">
        <v>12.2</v>
      </c>
      <c r="V51" s="74">
        <v>12.2</v>
      </c>
      <c r="W51" s="74">
        <v>12.2</v>
      </c>
      <c r="X51" s="74">
        <v>12.2</v>
      </c>
      <c r="Y51" s="74">
        <v>10.7</v>
      </c>
      <c r="Z51" s="74">
        <v>12.2</v>
      </c>
      <c r="AA51" s="74">
        <v>12.2</v>
      </c>
      <c r="AB51" s="74">
        <v>12.2</v>
      </c>
      <c r="AC51" s="74">
        <v>12.2</v>
      </c>
      <c r="AD51" s="74">
        <v>12.2</v>
      </c>
      <c r="AE51" s="74">
        <v>12.2</v>
      </c>
      <c r="AF51" s="74">
        <v>12.2</v>
      </c>
      <c r="AG51" s="75">
        <v>22.1</v>
      </c>
      <c r="AH51" s="52">
        <f t="shared" si="2"/>
        <v>12.7</v>
      </c>
      <c r="AI51" s="53">
        <f t="shared" si="3"/>
        <v>10.7</v>
      </c>
      <c r="AK51" s="54"/>
    </row>
    <row r="52" spans="1:41" ht="15.75" thickBot="1" x14ac:dyDescent="0.3">
      <c r="A52" s="76" t="s">
        <v>60</v>
      </c>
      <c r="B52" s="67">
        <f t="shared" ref="B52:AG52" si="6">SUM(B49:B51)</f>
        <v>204.7</v>
      </c>
      <c r="C52" s="67">
        <f t="shared" si="6"/>
        <v>204.7</v>
      </c>
      <c r="D52" s="67">
        <f t="shared" si="6"/>
        <v>124.7</v>
      </c>
      <c r="E52" s="67">
        <f t="shared" si="6"/>
        <v>134.19999999999999</v>
      </c>
      <c r="F52" s="67">
        <f t="shared" si="6"/>
        <v>124.3</v>
      </c>
      <c r="G52" s="67">
        <f t="shared" si="6"/>
        <v>114.2</v>
      </c>
      <c r="H52" s="67">
        <f>SUM(H49:H51)</f>
        <v>94.2</v>
      </c>
      <c r="I52" s="67">
        <f>SUM(I49:I51)</f>
        <v>94.2</v>
      </c>
      <c r="J52" s="67">
        <f t="shared" si="6"/>
        <v>94.2</v>
      </c>
      <c r="K52" s="67">
        <f t="shared" si="6"/>
        <v>94.2</v>
      </c>
      <c r="L52" s="67">
        <f t="shared" si="6"/>
        <v>94.2</v>
      </c>
      <c r="M52" s="67">
        <f t="shared" si="6"/>
        <v>94.2</v>
      </c>
      <c r="N52" s="67">
        <f t="shared" si="6"/>
        <v>64.2</v>
      </c>
      <c r="O52" s="67">
        <f t="shared" si="6"/>
        <v>64.2</v>
      </c>
      <c r="P52" s="67">
        <f t="shared" si="6"/>
        <v>44.2</v>
      </c>
      <c r="Q52" s="67">
        <f t="shared" si="6"/>
        <v>134.19999999999999</v>
      </c>
      <c r="R52" s="67">
        <f t="shared" si="6"/>
        <v>129.19999999999999</v>
      </c>
      <c r="S52" s="67">
        <f t="shared" si="6"/>
        <v>134.19999999999999</v>
      </c>
      <c r="T52" s="67">
        <f t="shared" si="6"/>
        <v>84.2</v>
      </c>
      <c r="U52" s="67">
        <f t="shared" si="6"/>
        <v>84.2</v>
      </c>
      <c r="V52" s="67">
        <f t="shared" si="6"/>
        <v>84.2</v>
      </c>
      <c r="W52" s="67">
        <f t="shared" si="6"/>
        <v>104.2</v>
      </c>
      <c r="X52" s="67">
        <f t="shared" si="6"/>
        <v>104.2</v>
      </c>
      <c r="Y52" s="67">
        <f t="shared" si="6"/>
        <v>100</v>
      </c>
      <c r="Z52" s="67">
        <f t="shared" si="6"/>
        <v>181.2</v>
      </c>
      <c r="AA52" s="67">
        <f t="shared" si="6"/>
        <v>211.2</v>
      </c>
      <c r="AB52" s="67">
        <f t="shared" si="6"/>
        <v>180.2</v>
      </c>
      <c r="AC52" s="67">
        <f t="shared" si="6"/>
        <v>131.19999999999999</v>
      </c>
      <c r="AD52" s="67">
        <f t="shared" si="6"/>
        <v>121.2</v>
      </c>
      <c r="AE52" s="67">
        <f t="shared" si="6"/>
        <v>121.2</v>
      </c>
      <c r="AF52" s="67">
        <f t="shared" si="6"/>
        <v>121.2</v>
      </c>
      <c r="AG52" s="68">
        <f t="shared" si="6"/>
        <v>538.1</v>
      </c>
      <c r="AH52" s="52">
        <f t="shared" si="2"/>
        <v>211.2</v>
      </c>
      <c r="AI52" s="53">
        <f t="shared" si="3"/>
        <v>44.2</v>
      </c>
      <c r="AK52" s="54"/>
    </row>
    <row r="53" spans="1:41" x14ac:dyDescent="0.25">
      <c r="A53" s="49" t="s">
        <v>61</v>
      </c>
      <c r="B53" s="50">
        <v>40</v>
      </c>
      <c r="C53" s="50">
        <v>30</v>
      </c>
      <c r="D53" s="50">
        <v>30</v>
      </c>
      <c r="E53" s="50">
        <v>40.9</v>
      </c>
      <c r="F53" s="50">
        <v>30.9</v>
      </c>
      <c r="G53" s="50">
        <v>48.2</v>
      </c>
      <c r="H53" s="50">
        <v>61.5</v>
      </c>
      <c r="I53" s="50">
        <v>85</v>
      </c>
      <c r="J53" s="50">
        <v>96</v>
      </c>
      <c r="K53" s="50">
        <v>97.6</v>
      </c>
      <c r="L53" s="50">
        <v>97.6</v>
      </c>
      <c r="M53" s="50">
        <v>65</v>
      </c>
      <c r="N53" s="50">
        <v>40.9</v>
      </c>
      <c r="O53" s="50">
        <v>32.799999999999997</v>
      </c>
      <c r="P53" s="50">
        <v>66</v>
      </c>
      <c r="Q53" s="50">
        <v>91.4</v>
      </c>
      <c r="R53" s="50">
        <v>91.3</v>
      </c>
      <c r="S53" s="50">
        <v>97.6</v>
      </c>
      <c r="T53" s="50">
        <v>0</v>
      </c>
      <c r="U53" s="50">
        <v>97</v>
      </c>
      <c r="V53" s="50">
        <v>71</v>
      </c>
      <c r="W53" s="50">
        <v>71</v>
      </c>
      <c r="X53" s="50">
        <v>56.2</v>
      </c>
      <c r="Y53" s="50">
        <v>99.2</v>
      </c>
      <c r="Z53" s="50">
        <v>131.5</v>
      </c>
      <c r="AA53" s="50">
        <v>143.80000000000001</v>
      </c>
      <c r="AB53" s="50">
        <v>141.80000000000001</v>
      </c>
      <c r="AC53" s="50">
        <v>110</v>
      </c>
      <c r="AD53" s="50">
        <v>100</v>
      </c>
      <c r="AE53" s="50">
        <v>90</v>
      </c>
      <c r="AF53" s="50">
        <v>60</v>
      </c>
      <c r="AG53" s="56">
        <v>144</v>
      </c>
      <c r="AH53" s="52">
        <f t="shared" si="2"/>
        <v>143.80000000000001</v>
      </c>
      <c r="AI53" s="53">
        <f t="shared" si="3"/>
        <v>0</v>
      </c>
      <c r="AK53" s="54"/>
    </row>
    <row r="54" spans="1:41" x14ac:dyDescent="0.25">
      <c r="A54" s="60" t="s">
        <v>62</v>
      </c>
      <c r="B54" s="72">
        <v>22</v>
      </c>
      <c r="C54" s="72">
        <v>22</v>
      </c>
      <c r="D54" s="72">
        <v>22</v>
      </c>
      <c r="E54" s="72">
        <v>23</v>
      </c>
      <c r="F54" s="72">
        <v>22.5</v>
      </c>
      <c r="G54" s="72">
        <v>36</v>
      </c>
      <c r="H54" s="72">
        <v>36.1</v>
      </c>
      <c r="I54" s="72">
        <v>45.6</v>
      </c>
      <c r="J54" s="72">
        <v>60</v>
      </c>
      <c r="K54" s="72">
        <v>60</v>
      </c>
      <c r="L54" s="72">
        <v>60</v>
      </c>
      <c r="M54" s="72">
        <v>45</v>
      </c>
      <c r="N54" s="72">
        <v>34.799999999999997</v>
      </c>
      <c r="O54" s="72">
        <v>25.8</v>
      </c>
      <c r="P54" s="72">
        <v>45.3</v>
      </c>
      <c r="Q54" s="72">
        <v>67.900000000000006</v>
      </c>
      <c r="R54" s="50">
        <v>70.099999999999994</v>
      </c>
      <c r="S54" s="50">
        <v>67.099999999999994</v>
      </c>
      <c r="T54" s="50">
        <v>64.3</v>
      </c>
      <c r="U54" s="50">
        <v>32.9</v>
      </c>
      <c r="V54" s="50">
        <v>22.5</v>
      </c>
      <c r="W54" s="50">
        <v>22.5</v>
      </c>
      <c r="X54" s="50">
        <v>22.5</v>
      </c>
      <c r="Y54" s="50">
        <v>0</v>
      </c>
      <c r="Z54" s="50">
        <v>0</v>
      </c>
      <c r="AA54" s="50">
        <v>35.6</v>
      </c>
      <c r="AB54" s="72">
        <v>28.8</v>
      </c>
      <c r="AC54" s="72">
        <v>29</v>
      </c>
      <c r="AD54" s="72">
        <v>29</v>
      </c>
      <c r="AE54" s="72">
        <v>34</v>
      </c>
      <c r="AF54" s="72">
        <v>22</v>
      </c>
      <c r="AG54" s="61">
        <v>70</v>
      </c>
      <c r="AH54" s="52">
        <f t="shared" si="2"/>
        <v>70.099999999999994</v>
      </c>
      <c r="AI54" s="53">
        <f t="shared" si="3"/>
        <v>0</v>
      </c>
      <c r="AK54" s="54"/>
    </row>
    <row r="55" spans="1:41" x14ac:dyDescent="0.25">
      <c r="A55" s="60" t="s">
        <v>63</v>
      </c>
      <c r="B55" s="72">
        <v>61.8</v>
      </c>
      <c r="C55" s="72">
        <v>37</v>
      </c>
      <c r="D55" s="72">
        <v>37</v>
      </c>
      <c r="E55" s="72">
        <v>43.7</v>
      </c>
      <c r="F55" s="72">
        <v>43.9</v>
      </c>
      <c r="G55" s="72">
        <v>34.1</v>
      </c>
      <c r="H55" s="72">
        <v>35.5</v>
      </c>
      <c r="I55" s="72">
        <v>30.5</v>
      </c>
      <c r="J55" s="72">
        <v>32</v>
      </c>
      <c r="K55" s="72">
        <v>46</v>
      </c>
      <c r="L55" s="72">
        <v>32.9</v>
      </c>
      <c r="M55" s="72">
        <v>22.8</v>
      </c>
      <c r="N55" s="72">
        <v>0</v>
      </c>
      <c r="O55" s="72">
        <v>0</v>
      </c>
      <c r="P55" s="72">
        <v>20.399999999999999</v>
      </c>
      <c r="Q55" s="72">
        <v>15.3</v>
      </c>
      <c r="R55" s="50">
        <v>23</v>
      </c>
      <c r="S55" s="50">
        <v>46.5</v>
      </c>
      <c r="T55" s="50">
        <v>60</v>
      </c>
      <c r="U55" s="50">
        <v>50.7</v>
      </c>
      <c r="V55" s="50">
        <v>35.9</v>
      </c>
      <c r="W55" s="50">
        <v>36.200000000000003</v>
      </c>
      <c r="X55" s="50">
        <v>36.200000000000003</v>
      </c>
      <c r="Y55" s="50">
        <v>66.099999999999994</v>
      </c>
      <c r="Z55" s="50">
        <v>66.3</v>
      </c>
      <c r="AA55" s="50">
        <v>67.8</v>
      </c>
      <c r="AB55" s="72">
        <v>40.5</v>
      </c>
      <c r="AC55" s="72">
        <v>40</v>
      </c>
      <c r="AD55" s="72">
        <v>46</v>
      </c>
      <c r="AE55" s="72">
        <v>56</v>
      </c>
      <c r="AF55" s="72">
        <v>60</v>
      </c>
      <c r="AG55" s="61">
        <v>69</v>
      </c>
      <c r="AH55" s="52">
        <f t="shared" si="2"/>
        <v>67.8</v>
      </c>
      <c r="AI55" s="53">
        <f t="shared" si="3"/>
        <v>0</v>
      </c>
      <c r="AK55" s="54"/>
    </row>
    <row r="56" spans="1:41" x14ac:dyDescent="0.25">
      <c r="A56" s="60" t="s">
        <v>64</v>
      </c>
      <c r="B56" s="72">
        <v>40.799999999999997</v>
      </c>
      <c r="C56" s="72">
        <v>40.799999999999997</v>
      </c>
      <c r="D56" s="72">
        <v>40.799999999999997</v>
      </c>
      <c r="E56" s="72">
        <v>43.3</v>
      </c>
      <c r="F56" s="63">
        <v>43.6</v>
      </c>
      <c r="G56" s="63">
        <v>43.6</v>
      </c>
      <c r="H56" s="63">
        <v>43.6</v>
      </c>
      <c r="I56" s="63">
        <v>43.6</v>
      </c>
      <c r="J56" s="63">
        <v>43.9</v>
      </c>
      <c r="K56" s="63">
        <v>43.9</v>
      </c>
      <c r="L56" s="63">
        <v>43.9</v>
      </c>
      <c r="M56" s="72">
        <v>43.999000000000002</v>
      </c>
      <c r="N56" s="72">
        <v>43.999000000000002</v>
      </c>
      <c r="O56" s="72">
        <v>41.3</v>
      </c>
      <c r="P56" s="72">
        <v>42.3</v>
      </c>
      <c r="Q56" s="72">
        <v>42.3</v>
      </c>
      <c r="R56" s="50">
        <v>40.6</v>
      </c>
      <c r="S56" s="50">
        <v>40.299999999999997</v>
      </c>
      <c r="T56" s="50">
        <v>40.299999999999997</v>
      </c>
      <c r="U56" s="50">
        <v>40.299999999999997</v>
      </c>
      <c r="V56" s="50">
        <v>41.6</v>
      </c>
      <c r="W56" s="50">
        <v>41.6</v>
      </c>
      <c r="X56" s="50">
        <v>39.6</v>
      </c>
      <c r="Y56" s="50">
        <v>39.299999999999997</v>
      </c>
      <c r="Z56" s="50">
        <v>39.299999999999997</v>
      </c>
      <c r="AA56" s="50">
        <v>39.6</v>
      </c>
      <c r="AB56" s="50">
        <v>39.6</v>
      </c>
      <c r="AC56" s="72">
        <v>40</v>
      </c>
      <c r="AD56" s="72">
        <v>40</v>
      </c>
      <c r="AE56" s="72">
        <v>40</v>
      </c>
      <c r="AF56" s="72">
        <v>40</v>
      </c>
      <c r="AG56" s="61">
        <v>60</v>
      </c>
      <c r="AH56" s="52">
        <f t="shared" si="2"/>
        <v>43.999000000000002</v>
      </c>
      <c r="AI56" s="53">
        <f t="shared" si="3"/>
        <v>39.299999999999997</v>
      </c>
      <c r="AK56" s="54"/>
    </row>
    <row r="57" spans="1:41" x14ac:dyDescent="0.25">
      <c r="A57" s="60" t="s">
        <v>65</v>
      </c>
      <c r="B57" s="72">
        <v>0</v>
      </c>
      <c r="C57" s="72">
        <v>0</v>
      </c>
      <c r="D57" s="72">
        <v>0</v>
      </c>
      <c r="E57" s="72">
        <v>0</v>
      </c>
      <c r="F57" s="63">
        <v>10</v>
      </c>
      <c r="G57" s="63">
        <v>10</v>
      </c>
      <c r="H57" s="63">
        <v>10</v>
      </c>
      <c r="I57" s="63">
        <v>10</v>
      </c>
      <c r="J57" s="63">
        <v>10</v>
      </c>
      <c r="K57" s="63">
        <v>10</v>
      </c>
      <c r="L57" s="63">
        <v>15</v>
      </c>
      <c r="M57" s="63">
        <v>15</v>
      </c>
      <c r="N57" s="63">
        <v>15</v>
      </c>
      <c r="O57" s="63">
        <v>15</v>
      </c>
      <c r="P57" s="63">
        <v>15</v>
      </c>
      <c r="Q57" s="63">
        <v>15</v>
      </c>
      <c r="R57" s="50">
        <v>14.8</v>
      </c>
      <c r="S57" s="50">
        <v>20.5</v>
      </c>
      <c r="T57" s="50">
        <v>20.5</v>
      </c>
      <c r="U57" s="50">
        <v>24.8</v>
      </c>
      <c r="V57" s="50">
        <v>24.8</v>
      </c>
      <c r="W57" s="50">
        <v>10</v>
      </c>
      <c r="X57" s="50">
        <v>9.8000000000000007</v>
      </c>
      <c r="Y57" s="50">
        <v>9.8000000000000007</v>
      </c>
      <c r="Z57" s="50">
        <v>14.5</v>
      </c>
      <c r="AA57" s="50">
        <v>14.5</v>
      </c>
      <c r="AB57" s="50">
        <v>14.5</v>
      </c>
      <c r="AC57" s="72">
        <v>14</v>
      </c>
      <c r="AD57" s="72">
        <v>10</v>
      </c>
      <c r="AE57" s="72">
        <v>12</v>
      </c>
      <c r="AF57" s="72">
        <v>12</v>
      </c>
      <c r="AG57" s="61">
        <v>30</v>
      </c>
      <c r="AH57" s="52">
        <f t="shared" si="2"/>
        <v>24.8</v>
      </c>
      <c r="AI57" s="53">
        <f t="shared" si="3"/>
        <v>0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72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8.58</v>
      </c>
      <c r="N58" s="50">
        <v>13.4</v>
      </c>
      <c r="O58" s="50">
        <v>15.9</v>
      </c>
      <c r="P58" s="50">
        <v>18.5</v>
      </c>
      <c r="Q58" s="50">
        <v>18.5</v>
      </c>
      <c r="R58" s="50">
        <v>19.100000000000001</v>
      </c>
      <c r="S58" s="50">
        <v>19</v>
      </c>
      <c r="T58" s="50">
        <v>19</v>
      </c>
      <c r="U58" s="50">
        <v>19</v>
      </c>
      <c r="V58" s="50">
        <v>19</v>
      </c>
      <c r="W58" s="50">
        <v>0.8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19.100000000000001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15</v>
      </c>
      <c r="C59" s="72">
        <v>15</v>
      </c>
      <c r="D59" s="72">
        <v>15</v>
      </c>
      <c r="E59" s="72">
        <v>15</v>
      </c>
      <c r="F59" s="72">
        <v>15</v>
      </c>
      <c r="G59" s="72">
        <v>15</v>
      </c>
      <c r="H59" s="72">
        <v>15</v>
      </c>
      <c r="I59" s="72">
        <v>15</v>
      </c>
      <c r="J59" s="72">
        <v>15</v>
      </c>
      <c r="K59" s="72">
        <v>15</v>
      </c>
      <c r="L59" s="72">
        <v>15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13</v>
      </c>
      <c r="S59" s="72">
        <v>13</v>
      </c>
      <c r="T59" s="72">
        <v>13</v>
      </c>
      <c r="U59" s="72">
        <v>13</v>
      </c>
      <c r="V59" s="72">
        <v>13</v>
      </c>
      <c r="W59" s="72">
        <v>13</v>
      </c>
      <c r="X59" s="72">
        <v>13</v>
      </c>
      <c r="Y59" s="72">
        <v>13</v>
      </c>
      <c r="Z59" s="72">
        <v>14</v>
      </c>
      <c r="AA59" s="72">
        <v>14</v>
      </c>
      <c r="AB59" s="72">
        <v>14</v>
      </c>
      <c r="AC59" s="72">
        <v>14</v>
      </c>
      <c r="AD59" s="72">
        <v>14</v>
      </c>
      <c r="AE59" s="72">
        <v>14</v>
      </c>
      <c r="AF59" s="72">
        <v>14</v>
      </c>
      <c r="AG59" s="61">
        <v>24</v>
      </c>
      <c r="AH59" s="52">
        <f t="shared" si="2"/>
        <v>15</v>
      </c>
      <c r="AI59" s="53">
        <f t="shared" si="3"/>
        <v>13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9.9</v>
      </c>
      <c r="C61" s="72">
        <v>9.9</v>
      </c>
      <c r="D61" s="72">
        <v>9.9</v>
      </c>
      <c r="E61" s="72">
        <v>10</v>
      </c>
      <c r="F61" s="72">
        <v>10</v>
      </c>
      <c r="G61" s="72">
        <v>10</v>
      </c>
      <c r="H61" s="72">
        <v>10</v>
      </c>
      <c r="I61" s="72">
        <v>10</v>
      </c>
      <c r="J61" s="72">
        <v>10</v>
      </c>
      <c r="K61" s="72">
        <v>10</v>
      </c>
      <c r="L61" s="72">
        <v>10</v>
      </c>
      <c r="M61" s="72">
        <v>10</v>
      </c>
      <c r="N61" s="72">
        <v>10</v>
      </c>
      <c r="O61" s="72">
        <v>10</v>
      </c>
      <c r="P61" s="72">
        <v>10</v>
      </c>
      <c r="Q61" s="72">
        <v>10</v>
      </c>
      <c r="R61" s="72">
        <v>11.5</v>
      </c>
      <c r="S61" s="72">
        <v>9.6999999999999993</v>
      </c>
      <c r="T61" s="72">
        <v>9.6999999999999993</v>
      </c>
      <c r="U61" s="72">
        <v>9.6999999999999993</v>
      </c>
      <c r="V61" s="72">
        <v>9.6999999999999993</v>
      </c>
      <c r="W61" s="72">
        <v>9.6999999999999993</v>
      </c>
      <c r="X61" s="72">
        <v>9.6999999999999993</v>
      </c>
      <c r="Y61" s="72">
        <v>9.6999999999999993</v>
      </c>
      <c r="Z61" s="72">
        <v>9.6</v>
      </c>
      <c r="AA61" s="72">
        <v>9.6</v>
      </c>
      <c r="AB61" s="72">
        <v>9.6</v>
      </c>
      <c r="AC61" s="72">
        <v>9.6</v>
      </c>
      <c r="AD61" s="72">
        <v>9.6</v>
      </c>
      <c r="AE61" s="72">
        <v>9.6</v>
      </c>
      <c r="AF61" s="72">
        <v>9.6</v>
      </c>
      <c r="AG61" s="61">
        <v>14.1</v>
      </c>
      <c r="AH61" s="52">
        <f t="shared" si="2"/>
        <v>11.5</v>
      </c>
      <c r="AI61" s="53">
        <f t="shared" si="3"/>
        <v>9.6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6.6</v>
      </c>
      <c r="C62" s="72">
        <v>6.6</v>
      </c>
      <c r="D62" s="72">
        <v>6.6</v>
      </c>
      <c r="E62" s="72">
        <v>6.6</v>
      </c>
      <c r="F62" s="72">
        <v>6.6</v>
      </c>
      <c r="G62" s="72">
        <v>6.6</v>
      </c>
      <c r="H62" s="72">
        <v>6.6</v>
      </c>
      <c r="I62" s="72">
        <v>6.6</v>
      </c>
      <c r="J62" s="72">
        <v>6.6</v>
      </c>
      <c r="K62" s="72">
        <v>6.6</v>
      </c>
      <c r="L62" s="72">
        <v>6.6</v>
      </c>
      <c r="M62" s="72">
        <v>6.6</v>
      </c>
      <c r="N62" s="72">
        <v>6.6</v>
      </c>
      <c r="O62" s="72">
        <v>6.6</v>
      </c>
      <c r="P62" s="72">
        <v>6.6</v>
      </c>
      <c r="Q62" s="72">
        <v>6.6</v>
      </c>
      <c r="R62" s="72">
        <v>7.1</v>
      </c>
      <c r="S62" s="72">
        <v>7.1</v>
      </c>
      <c r="T62" s="72">
        <v>7.1</v>
      </c>
      <c r="U62" s="72">
        <v>7.1</v>
      </c>
      <c r="V62" s="72">
        <v>7.1</v>
      </c>
      <c r="W62" s="72">
        <v>7.1</v>
      </c>
      <c r="X62" s="72">
        <v>7.1</v>
      </c>
      <c r="Y62" s="72">
        <v>7.1</v>
      </c>
      <c r="Z62" s="72">
        <v>7</v>
      </c>
      <c r="AA62" s="72">
        <v>6</v>
      </c>
      <c r="AB62" s="72">
        <v>6</v>
      </c>
      <c r="AC62" s="72">
        <v>6</v>
      </c>
      <c r="AD62" s="72">
        <v>6</v>
      </c>
      <c r="AE62" s="72">
        <v>6</v>
      </c>
      <c r="AF62" s="72">
        <v>6</v>
      </c>
      <c r="AG62" s="61">
        <v>14</v>
      </c>
      <c r="AH62" s="52">
        <f t="shared" si="2"/>
        <v>7.1</v>
      </c>
      <c r="AI62" s="53">
        <f t="shared" si="3"/>
        <v>6</v>
      </c>
      <c r="AK62" s="54"/>
    </row>
    <row r="63" spans="1:41" x14ac:dyDescent="0.25">
      <c r="A63" s="60" t="s">
        <v>71</v>
      </c>
      <c r="B63" s="72">
        <v>4.62</v>
      </c>
      <c r="C63" s="72">
        <v>4.62</v>
      </c>
      <c r="D63" s="72">
        <v>4.62</v>
      </c>
      <c r="E63" s="72">
        <v>4.62</v>
      </c>
      <c r="F63" s="72">
        <v>4.5999999999999996</v>
      </c>
      <c r="G63" s="72">
        <v>4.5999999999999996</v>
      </c>
      <c r="H63" s="72">
        <v>4.5999999999999996</v>
      </c>
      <c r="I63" s="72">
        <v>4.5999999999999996</v>
      </c>
      <c r="J63" s="72">
        <v>4.5999999999999996</v>
      </c>
      <c r="K63" s="72">
        <v>4.5999999999999996</v>
      </c>
      <c r="L63" s="72">
        <v>4.5999999999999996</v>
      </c>
      <c r="M63" s="72">
        <v>4.5999999999999996</v>
      </c>
      <c r="N63" s="72">
        <v>4.5999999999999996</v>
      </c>
      <c r="O63" s="72">
        <v>4.5999999999999996</v>
      </c>
      <c r="P63" s="72">
        <v>4.5999999999999996</v>
      </c>
      <c r="Q63" s="72">
        <v>4.5999999999999996</v>
      </c>
      <c r="R63" s="72">
        <v>4.3</v>
      </c>
      <c r="S63" s="72">
        <v>4.3</v>
      </c>
      <c r="T63" s="72">
        <v>4.3</v>
      </c>
      <c r="U63" s="72">
        <v>4.3</v>
      </c>
      <c r="V63" s="72">
        <v>4.3</v>
      </c>
      <c r="W63" s="72">
        <v>4.3</v>
      </c>
      <c r="X63" s="72">
        <v>4.3</v>
      </c>
      <c r="Y63" s="72">
        <v>4.3</v>
      </c>
      <c r="Z63" s="72">
        <v>4.3</v>
      </c>
      <c r="AA63" s="72">
        <v>4</v>
      </c>
      <c r="AB63" s="72">
        <v>4</v>
      </c>
      <c r="AC63" s="72">
        <v>4</v>
      </c>
      <c r="AD63" s="72">
        <v>4</v>
      </c>
      <c r="AE63" s="72">
        <v>4</v>
      </c>
      <c r="AF63" s="72">
        <v>4</v>
      </c>
      <c r="AG63" s="61">
        <v>10.050000000000001</v>
      </c>
      <c r="AH63" s="52">
        <f t="shared" si="2"/>
        <v>4.62</v>
      </c>
      <c r="AI63" s="53">
        <f t="shared" si="3"/>
        <v>4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2">
        <v>2</v>
      </c>
      <c r="X64" s="72">
        <v>2</v>
      </c>
      <c r="Y64" s="72">
        <v>2</v>
      </c>
      <c r="Z64" s="72">
        <v>2</v>
      </c>
      <c r="AA64" s="72">
        <v>2</v>
      </c>
      <c r="AB64" s="72">
        <v>2</v>
      </c>
      <c r="AC64" s="72">
        <v>2</v>
      </c>
      <c r="AD64" s="72">
        <v>2</v>
      </c>
      <c r="AE64" s="72">
        <v>2</v>
      </c>
      <c r="AF64" s="72">
        <v>2</v>
      </c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:AG66" si="7">SUM(B53:B65)</f>
        <v>206.26</v>
      </c>
      <c r="C66" s="67">
        <f t="shared" si="7"/>
        <v>171.46</v>
      </c>
      <c r="D66" s="67">
        <f t="shared" si="7"/>
        <v>171.46</v>
      </c>
      <c r="E66" s="67">
        <f t="shared" si="7"/>
        <v>192.65999999999997</v>
      </c>
      <c r="F66" s="67">
        <f t="shared" si="7"/>
        <v>192.64</v>
      </c>
      <c r="G66" s="67">
        <f t="shared" si="7"/>
        <v>213.64</v>
      </c>
      <c r="H66" s="67">
        <f t="shared" si="7"/>
        <v>228.43999999999997</v>
      </c>
      <c r="I66" s="67">
        <f t="shared" si="7"/>
        <v>256.44</v>
      </c>
      <c r="J66" s="67">
        <f t="shared" si="7"/>
        <v>283.64000000000004</v>
      </c>
      <c r="K66" s="67">
        <f t="shared" si="7"/>
        <v>299.24000000000007</v>
      </c>
      <c r="L66" s="67">
        <f t="shared" si="7"/>
        <v>291.14000000000004</v>
      </c>
      <c r="M66" s="67">
        <f t="shared" si="7"/>
        <v>242.119</v>
      </c>
      <c r="N66" s="67">
        <f t="shared" si="7"/>
        <v>189.83899999999997</v>
      </c>
      <c r="O66" s="67">
        <f t="shared" si="7"/>
        <v>172.53999999999996</v>
      </c>
      <c r="P66" s="67">
        <f t="shared" si="7"/>
        <v>249.23999999999998</v>
      </c>
      <c r="Q66" s="67">
        <f t="shared" si="7"/>
        <v>292.1400000000001</v>
      </c>
      <c r="R66" s="67">
        <f t="shared" si="7"/>
        <v>300.34000000000003</v>
      </c>
      <c r="S66" s="67">
        <f t="shared" si="7"/>
        <v>330.64000000000004</v>
      </c>
      <c r="T66" s="67">
        <f t="shared" si="7"/>
        <v>243.73999999999998</v>
      </c>
      <c r="U66" s="67">
        <f t="shared" si="7"/>
        <v>304.34000000000009</v>
      </c>
      <c r="V66" s="67">
        <f t="shared" si="7"/>
        <v>254.44</v>
      </c>
      <c r="W66" s="67">
        <f t="shared" si="7"/>
        <v>221.73999999999998</v>
      </c>
      <c r="X66" s="67">
        <f t="shared" si="7"/>
        <v>203.94</v>
      </c>
      <c r="Y66" s="67">
        <f t="shared" si="7"/>
        <v>254.04000000000002</v>
      </c>
      <c r="Z66" s="67">
        <f t="shared" si="7"/>
        <v>292.04000000000008</v>
      </c>
      <c r="AA66" s="67">
        <f t="shared" si="7"/>
        <v>340.44000000000005</v>
      </c>
      <c r="AB66" s="67">
        <f t="shared" si="7"/>
        <v>304.34000000000009</v>
      </c>
      <c r="AC66" s="67">
        <f t="shared" si="7"/>
        <v>272.14000000000004</v>
      </c>
      <c r="AD66" s="67">
        <f t="shared" si="7"/>
        <v>264.14000000000004</v>
      </c>
      <c r="AE66" s="67">
        <f t="shared" si="7"/>
        <v>271.14000000000004</v>
      </c>
      <c r="AF66" s="67">
        <f t="shared" si="7"/>
        <v>233.14</v>
      </c>
      <c r="AG66" s="68">
        <f t="shared" si="7"/>
        <v>489.91</v>
      </c>
      <c r="AH66" s="52">
        <f t="shared" si="2"/>
        <v>340.44000000000005</v>
      </c>
      <c r="AI66" s="53">
        <f t="shared" si="3"/>
        <v>171.46</v>
      </c>
      <c r="AK66" s="54"/>
    </row>
    <row r="67" spans="1:40" x14ac:dyDescent="0.25">
      <c r="A67" s="49" t="s">
        <v>75</v>
      </c>
      <c r="B67" s="50">
        <v>30</v>
      </c>
      <c r="C67" s="50">
        <v>50</v>
      </c>
      <c r="D67" s="50">
        <v>30</v>
      </c>
      <c r="E67" s="50">
        <v>30</v>
      </c>
      <c r="F67" s="50">
        <v>30</v>
      </c>
      <c r="G67" s="50">
        <v>20</v>
      </c>
      <c r="H67" s="50">
        <v>20</v>
      </c>
      <c r="I67" s="50">
        <v>14</v>
      </c>
      <c r="J67" s="50">
        <v>14</v>
      </c>
      <c r="K67" s="50">
        <v>14</v>
      </c>
      <c r="L67" s="50">
        <v>0</v>
      </c>
      <c r="M67" s="50">
        <v>0</v>
      </c>
      <c r="N67" s="50">
        <v>20</v>
      </c>
      <c r="O67" s="50">
        <v>25</v>
      </c>
      <c r="P67" s="50">
        <v>20</v>
      </c>
      <c r="Q67" s="50">
        <v>40</v>
      </c>
      <c r="R67" s="50">
        <v>40</v>
      </c>
      <c r="S67" s="50">
        <v>60</v>
      </c>
      <c r="T67" s="50">
        <v>60</v>
      </c>
      <c r="U67" s="50">
        <v>50</v>
      </c>
      <c r="V67" s="50">
        <v>60</v>
      </c>
      <c r="W67" s="50">
        <v>60</v>
      </c>
      <c r="X67" s="50">
        <v>40</v>
      </c>
      <c r="Y67" s="50">
        <v>60</v>
      </c>
      <c r="Z67" s="50">
        <v>60</v>
      </c>
      <c r="AA67" s="50">
        <v>60</v>
      </c>
      <c r="AB67" s="50">
        <v>60</v>
      </c>
      <c r="AC67" s="50">
        <v>60</v>
      </c>
      <c r="AD67" s="50">
        <v>50</v>
      </c>
      <c r="AE67" s="50">
        <v>60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0</v>
      </c>
      <c r="AK67" s="54"/>
    </row>
    <row r="68" spans="1:40" x14ac:dyDescent="0.25">
      <c r="A68" s="60" t="s">
        <v>76</v>
      </c>
      <c r="B68" s="72">
        <v>13</v>
      </c>
      <c r="C68" s="72">
        <v>23</v>
      </c>
      <c r="D68" s="72">
        <v>23</v>
      </c>
      <c r="E68" s="72">
        <v>15.4</v>
      </c>
      <c r="F68" s="72">
        <v>14.7</v>
      </c>
      <c r="G68" s="72">
        <v>14.7</v>
      </c>
      <c r="H68" s="72">
        <v>8.6300000000000008</v>
      </c>
      <c r="I68" s="72">
        <v>9.6999999999999993</v>
      </c>
      <c r="J68" s="72">
        <v>9.6999999999999993</v>
      </c>
      <c r="K68" s="72">
        <v>9.6999999999999993</v>
      </c>
      <c r="L68" s="72">
        <v>0</v>
      </c>
      <c r="M68" s="72">
        <v>0</v>
      </c>
      <c r="N68" s="72">
        <v>5.5</v>
      </c>
      <c r="O68" s="72">
        <v>5.8</v>
      </c>
      <c r="P68" s="72">
        <v>8.6999999999999993</v>
      </c>
      <c r="Q68" s="50">
        <v>17.100000000000001</v>
      </c>
      <c r="R68" s="50">
        <v>14.4</v>
      </c>
      <c r="S68" s="72">
        <v>27.2</v>
      </c>
      <c r="T68" s="72">
        <v>29.4</v>
      </c>
      <c r="U68" s="72">
        <v>28.2</v>
      </c>
      <c r="V68" s="72">
        <v>28.4</v>
      </c>
      <c r="W68" s="72">
        <v>28.3</v>
      </c>
      <c r="X68" s="72">
        <v>28.8</v>
      </c>
      <c r="Y68" s="72">
        <v>29.4</v>
      </c>
      <c r="Z68" s="72">
        <v>21.9</v>
      </c>
      <c r="AA68" s="72">
        <v>28.8</v>
      </c>
      <c r="AB68" s="72">
        <v>28.8</v>
      </c>
      <c r="AC68" s="72">
        <v>29</v>
      </c>
      <c r="AD68" s="72">
        <v>24</v>
      </c>
      <c r="AE68" s="72">
        <v>28.5</v>
      </c>
      <c r="AF68" s="72">
        <v>28.5</v>
      </c>
      <c r="AG68" s="61">
        <v>32</v>
      </c>
      <c r="AH68" s="52">
        <f t="shared" si="2"/>
        <v>29.4</v>
      </c>
      <c r="AI68" s="53">
        <f t="shared" si="3"/>
        <v>0</v>
      </c>
      <c r="AK68" s="54"/>
    </row>
    <row r="69" spans="1:40" ht="15.75" thickBot="1" x14ac:dyDescent="0.3">
      <c r="A69" s="78" t="s">
        <v>77</v>
      </c>
      <c r="B69" s="74">
        <v>5</v>
      </c>
      <c r="C69" s="74">
        <v>8</v>
      </c>
      <c r="D69" s="74">
        <v>8</v>
      </c>
      <c r="E69" s="74">
        <v>5.6</v>
      </c>
      <c r="F69" s="74">
        <v>5.6</v>
      </c>
      <c r="G69" s="74">
        <v>5.4</v>
      </c>
      <c r="H69" s="74">
        <v>3.2</v>
      </c>
      <c r="I69" s="74">
        <v>3.2</v>
      </c>
      <c r="J69" s="74">
        <v>3.2</v>
      </c>
      <c r="K69" s="74">
        <v>3.2</v>
      </c>
      <c r="L69" s="74">
        <v>0</v>
      </c>
      <c r="M69" s="74">
        <v>0</v>
      </c>
      <c r="N69" s="74">
        <v>2</v>
      </c>
      <c r="O69" s="74">
        <v>2.1</v>
      </c>
      <c r="P69" s="74">
        <v>3.2</v>
      </c>
      <c r="Q69" s="50">
        <v>6.2</v>
      </c>
      <c r="R69" s="50">
        <v>5.3</v>
      </c>
      <c r="S69" s="74">
        <v>9.9</v>
      </c>
      <c r="T69" s="74">
        <v>10.7</v>
      </c>
      <c r="U69" s="74">
        <v>10.3</v>
      </c>
      <c r="V69" s="74">
        <v>10.4</v>
      </c>
      <c r="W69" s="74">
        <v>10.3</v>
      </c>
      <c r="X69" s="74">
        <v>10.5</v>
      </c>
      <c r="Y69" s="74">
        <v>10.7</v>
      </c>
      <c r="Z69" s="74">
        <v>8</v>
      </c>
      <c r="AA69" s="74">
        <v>10.5</v>
      </c>
      <c r="AB69" s="74">
        <v>10.5</v>
      </c>
      <c r="AC69" s="74">
        <v>10.5</v>
      </c>
      <c r="AD69" s="74">
        <v>9</v>
      </c>
      <c r="AE69" s="74">
        <v>10.4</v>
      </c>
      <c r="AF69" s="74">
        <v>10.4</v>
      </c>
      <c r="AG69" s="75">
        <v>14</v>
      </c>
      <c r="AH69" s="52">
        <f t="shared" si="2"/>
        <v>10.7</v>
      </c>
      <c r="AI69" s="53">
        <f t="shared" si="3"/>
        <v>0</v>
      </c>
      <c r="AK69" s="54"/>
    </row>
    <row r="70" spans="1:40" ht="15.75" thickBot="1" x14ac:dyDescent="0.3">
      <c r="A70" s="81" t="s">
        <v>78</v>
      </c>
      <c r="B70" s="67">
        <f>B67+B68+B69</f>
        <v>48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0</v>
      </c>
      <c r="M70" s="67">
        <f t="shared" ref="M70:AF70" si="8">M67+M68+M69</f>
        <v>0</v>
      </c>
      <c r="N70" s="67">
        <f t="shared" si="8"/>
        <v>27.5</v>
      </c>
      <c r="O70" s="67">
        <f t="shared" si="8"/>
        <v>32.9</v>
      </c>
      <c r="P70" s="67">
        <f t="shared" si="8"/>
        <v>31.9</v>
      </c>
      <c r="Q70" s="67">
        <f t="shared" si="8"/>
        <v>63.300000000000004</v>
      </c>
      <c r="R70" s="67">
        <f t="shared" si="8"/>
        <v>59.699999999999996</v>
      </c>
      <c r="S70" s="67">
        <f t="shared" si="8"/>
        <v>97.100000000000009</v>
      </c>
      <c r="T70" s="67">
        <f t="shared" si="8"/>
        <v>100.10000000000001</v>
      </c>
      <c r="U70" s="67">
        <f t="shared" si="8"/>
        <v>88.5</v>
      </c>
      <c r="V70" s="67">
        <f t="shared" si="8"/>
        <v>98.800000000000011</v>
      </c>
      <c r="W70" s="67">
        <f t="shared" si="8"/>
        <v>98.6</v>
      </c>
      <c r="X70" s="67">
        <f t="shared" si="8"/>
        <v>79.3</v>
      </c>
      <c r="Y70" s="67">
        <f t="shared" si="8"/>
        <v>100.10000000000001</v>
      </c>
      <c r="Z70" s="67">
        <f t="shared" si="8"/>
        <v>89.9</v>
      </c>
      <c r="AA70" s="67">
        <f t="shared" si="8"/>
        <v>99.3</v>
      </c>
      <c r="AB70" s="67">
        <f t="shared" si="8"/>
        <v>99.3</v>
      </c>
      <c r="AC70" s="67">
        <f t="shared" si="8"/>
        <v>99.5</v>
      </c>
      <c r="AD70" s="67">
        <f t="shared" si="8"/>
        <v>83</v>
      </c>
      <c r="AE70" s="67">
        <f t="shared" si="8"/>
        <v>98.9</v>
      </c>
      <c r="AF70" s="67">
        <f t="shared" si="8"/>
        <v>98.9</v>
      </c>
      <c r="AG70" s="68">
        <f>SUM(AG67:AG69)</f>
        <v>106</v>
      </c>
      <c r="AH70" s="52">
        <f t="shared" si="2"/>
        <v>100.10000000000001</v>
      </c>
      <c r="AI70" s="53">
        <f t="shared" si="3"/>
        <v>0</v>
      </c>
      <c r="AK70" s="54"/>
    </row>
    <row r="71" spans="1:40" x14ac:dyDescent="0.25">
      <c r="A71" s="49" t="s">
        <v>79</v>
      </c>
      <c r="B71" s="50">
        <v>69</v>
      </c>
      <c r="C71" s="50">
        <v>70.3</v>
      </c>
      <c r="D71" s="50">
        <v>69</v>
      </c>
      <c r="E71" s="50">
        <v>72</v>
      </c>
      <c r="F71" s="50">
        <v>69.2</v>
      </c>
      <c r="G71" s="50">
        <v>70.5</v>
      </c>
      <c r="H71" s="50">
        <v>68</v>
      </c>
      <c r="I71" s="50">
        <v>66.3</v>
      </c>
      <c r="J71" s="50">
        <v>69</v>
      </c>
      <c r="K71" s="50">
        <v>59</v>
      </c>
      <c r="L71" s="50">
        <v>48</v>
      </c>
      <c r="M71" s="50">
        <v>56.3</v>
      </c>
      <c r="N71" s="50">
        <v>62</v>
      </c>
      <c r="O71" s="50">
        <v>63.4</v>
      </c>
      <c r="P71" s="50">
        <v>66.099999999999994</v>
      </c>
      <c r="Q71" s="50">
        <v>64.7</v>
      </c>
      <c r="R71" s="50">
        <v>72.099999999999994</v>
      </c>
      <c r="S71" s="50">
        <v>67.2</v>
      </c>
      <c r="T71" s="50">
        <v>75</v>
      </c>
      <c r="U71" s="50">
        <v>71.400000000000006</v>
      </c>
      <c r="V71" s="50">
        <v>71.2</v>
      </c>
      <c r="W71" s="50">
        <v>71.3</v>
      </c>
      <c r="X71" s="50">
        <v>64.599999999999994</v>
      </c>
      <c r="Y71" s="50">
        <v>68.3</v>
      </c>
      <c r="Z71" s="50">
        <v>68.5</v>
      </c>
      <c r="AA71" s="50">
        <v>72.5</v>
      </c>
      <c r="AB71" s="50">
        <v>71</v>
      </c>
      <c r="AC71" s="50">
        <v>70</v>
      </c>
      <c r="AD71" s="50">
        <v>69</v>
      </c>
      <c r="AE71" s="50">
        <v>70</v>
      </c>
      <c r="AF71" s="50">
        <v>70</v>
      </c>
      <c r="AG71" s="56"/>
      <c r="AH71" s="52">
        <f t="shared" si="2"/>
        <v>75</v>
      </c>
      <c r="AI71" s="53">
        <f t="shared" si="3"/>
        <v>48</v>
      </c>
      <c r="AK71" s="54"/>
    </row>
    <row r="72" spans="1:40" x14ac:dyDescent="0.25">
      <c r="A72" s="60" t="s">
        <v>80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355</v>
      </c>
      <c r="C73" s="72">
        <v>347</v>
      </c>
      <c r="D73" s="72">
        <v>395</v>
      </c>
      <c r="E73" s="72">
        <v>406</v>
      </c>
      <c r="F73" s="72">
        <v>398</v>
      </c>
      <c r="G73" s="72">
        <v>420</v>
      </c>
      <c r="H73" s="72">
        <v>416</v>
      </c>
      <c r="I73" s="72">
        <v>419.6</v>
      </c>
      <c r="J73" s="72">
        <v>450</v>
      </c>
      <c r="K73" s="72">
        <v>439</v>
      </c>
      <c r="L73" s="72">
        <v>442</v>
      </c>
      <c r="M73" s="72">
        <v>433</v>
      </c>
      <c r="N73" s="72">
        <v>415</v>
      </c>
      <c r="O73" s="72">
        <v>421.4</v>
      </c>
      <c r="P73" s="72">
        <v>478</v>
      </c>
      <c r="Q73" s="72">
        <v>423</v>
      </c>
      <c r="R73" s="72">
        <v>451</v>
      </c>
      <c r="S73" s="72">
        <v>427</v>
      </c>
      <c r="T73" s="72">
        <v>420.8</v>
      </c>
      <c r="U73" s="72">
        <v>432.5</v>
      </c>
      <c r="V73" s="72">
        <v>432.3</v>
      </c>
      <c r="W73" s="72">
        <v>400</v>
      </c>
      <c r="X73" s="72">
        <v>435</v>
      </c>
      <c r="Y73" s="72">
        <v>398</v>
      </c>
      <c r="Z73" s="72">
        <v>412</v>
      </c>
      <c r="AA73" s="72">
        <v>329.8</v>
      </c>
      <c r="AB73" s="72">
        <v>356.1</v>
      </c>
      <c r="AC73" s="72">
        <v>420</v>
      </c>
      <c r="AD73" s="72">
        <v>430</v>
      </c>
      <c r="AE73" s="72">
        <v>409</v>
      </c>
      <c r="AF73" s="72">
        <v>400</v>
      </c>
      <c r="AG73" s="82"/>
      <c r="AH73" s="52">
        <f t="shared" si="2"/>
        <v>478</v>
      </c>
      <c r="AI73" s="53">
        <f t="shared" si="3"/>
        <v>329.8</v>
      </c>
      <c r="AK73" s="54"/>
    </row>
    <row r="74" spans="1:40" x14ac:dyDescent="0.25">
      <c r="A74" s="60" t="s">
        <v>82</v>
      </c>
      <c r="B74" s="72">
        <v>64</v>
      </c>
      <c r="C74" s="72">
        <v>60</v>
      </c>
      <c r="D74" s="72">
        <v>55</v>
      </c>
      <c r="E74" s="83">
        <v>55.6</v>
      </c>
      <c r="F74" s="83">
        <v>55.4</v>
      </c>
      <c r="G74" s="83">
        <v>55.3</v>
      </c>
      <c r="H74" s="83">
        <v>54.8</v>
      </c>
      <c r="I74" s="83">
        <v>55.3</v>
      </c>
      <c r="J74" s="83">
        <v>55.3</v>
      </c>
      <c r="K74" s="83">
        <v>52.4</v>
      </c>
      <c r="L74" s="83">
        <v>53.8</v>
      </c>
      <c r="M74" s="83">
        <v>55.2</v>
      </c>
      <c r="N74" s="83">
        <v>50.8</v>
      </c>
      <c r="O74" s="83">
        <v>59</v>
      </c>
      <c r="P74" s="83">
        <v>59</v>
      </c>
      <c r="Q74" s="83">
        <v>61.1</v>
      </c>
      <c r="R74" s="83">
        <v>60.4</v>
      </c>
      <c r="S74" s="83">
        <v>50.8</v>
      </c>
      <c r="T74" s="83">
        <v>49</v>
      </c>
      <c r="U74" s="83">
        <v>0</v>
      </c>
      <c r="V74" s="83">
        <v>52.7</v>
      </c>
      <c r="W74" s="83">
        <v>49.6</v>
      </c>
      <c r="X74" s="83">
        <v>49.6</v>
      </c>
      <c r="Y74" s="72">
        <v>56.7</v>
      </c>
      <c r="Z74" s="72">
        <v>55.4</v>
      </c>
      <c r="AA74" s="72">
        <v>55</v>
      </c>
      <c r="AB74" s="72">
        <v>55</v>
      </c>
      <c r="AC74" s="72">
        <v>59</v>
      </c>
      <c r="AD74" s="72">
        <v>59</v>
      </c>
      <c r="AE74" s="72">
        <v>58</v>
      </c>
      <c r="AF74" s="72">
        <v>58</v>
      </c>
      <c r="AG74" s="82"/>
      <c r="AH74" s="52">
        <f t="shared" si="2"/>
        <v>64</v>
      </c>
      <c r="AI74" s="53">
        <f t="shared" si="3"/>
        <v>0</v>
      </c>
      <c r="AK74" s="54"/>
    </row>
    <row r="75" spans="1:40" x14ac:dyDescent="0.25">
      <c r="A75" s="60" t="s">
        <v>83</v>
      </c>
      <c r="B75" s="50">
        <v>26.1</v>
      </c>
      <c r="C75" s="50">
        <v>26</v>
      </c>
      <c r="D75" s="50">
        <v>30</v>
      </c>
      <c r="E75" s="50">
        <v>28.6</v>
      </c>
      <c r="F75" s="50">
        <v>29</v>
      </c>
      <c r="G75" s="50">
        <v>27.3</v>
      </c>
      <c r="H75" s="50">
        <v>27.1</v>
      </c>
      <c r="I75" s="50">
        <v>26.2</v>
      </c>
      <c r="J75" s="50">
        <v>27.7</v>
      </c>
      <c r="K75" s="50">
        <v>29</v>
      </c>
      <c r="L75" s="50">
        <v>32.700000000000003</v>
      </c>
      <c r="M75" s="50">
        <v>30.9</v>
      </c>
      <c r="N75" s="50">
        <v>76.7</v>
      </c>
      <c r="O75" s="50">
        <v>78.099999999999994</v>
      </c>
      <c r="P75" s="50">
        <v>37</v>
      </c>
      <c r="Q75" s="50">
        <v>36.799999999999997</v>
      </c>
      <c r="R75" s="50">
        <v>36.200000000000003</v>
      </c>
      <c r="S75" s="50">
        <v>37.6</v>
      </c>
      <c r="T75" s="50">
        <v>31.1</v>
      </c>
      <c r="U75" s="50">
        <v>28.3</v>
      </c>
      <c r="V75" s="50">
        <v>25.9</v>
      </c>
      <c r="W75" s="50">
        <v>26.2</v>
      </c>
      <c r="X75" s="50">
        <v>24.3</v>
      </c>
      <c r="Y75" s="50">
        <v>25.6</v>
      </c>
      <c r="Z75" s="50">
        <v>25.5</v>
      </c>
      <c r="AA75" s="50">
        <v>23.6</v>
      </c>
      <c r="AB75" s="50">
        <v>21.2</v>
      </c>
      <c r="AC75" s="50">
        <v>21</v>
      </c>
      <c r="AD75" s="50">
        <v>20</v>
      </c>
      <c r="AE75" s="50">
        <v>25</v>
      </c>
      <c r="AF75" s="50">
        <v>25</v>
      </c>
      <c r="AG75" s="82"/>
      <c r="AH75" s="52">
        <f t="shared" ref="AH75:AH117" si="9">MAX(B75:AF75)</f>
        <v>78.099999999999994</v>
      </c>
      <c r="AI75" s="53">
        <f t="shared" ref="AI75:AI117" si="10">MIN(B75:AF75)</f>
        <v>20</v>
      </c>
      <c r="AK75" s="54"/>
    </row>
    <row r="76" spans="1:40" x14ac:dyDescent="0.25">
      <c r="A76" s="60" t="s">
        <v>84</v>
      </c>
      <c r="B76" s="84">
        <v>8</v>
      </c>
      <c r="C76" s="84">
        <v>8</v>
      </c>
      <c r="D76" s="84">
        <v>8</v>
      </c>
      <c r="E76" s="84">
        <v>8</v>
      </c>
      <c r="F76" s="84">
        <v>8</v>
      </c>
      <c r="G76" s="84">
        <v>8</v>
      </c>
      <c r="H76" s="84">
        <v>8</v>
      </c>
      <c r="I76" s="84">
        <v>8</v>
      </c>
      <c r="J76" s="84">
        <v>8</v>
      </c>
      <c r="K76" s="84">
        <v>8</v>
      </c>
      <c r="L76" s="84">
        <v>8</v>
      </c>
      <c r="M76" s="84">
        <v>8</v>
      </c>
      <c r="N76" s="84">
        <v>8</v>
      </c>
      <c r="O76" s="84">
        <v>8</v>
      </c>
      <c r="P76" s="84">
        <v>8</v>
      </c>
      <c r="Q76" s="84">
        <v>8</v>
      </c>
      <c r="R76" s="84">
        <v>8</v>
      </c>
      <c r="S76" s="84">
        <v>8</v>
      </c>
      <c r="T76" s="84">
        <v>7</v>
      </c>
      <c r="U76" s="84">
        <v>7</v>
      </c>
      <c r="V76" s="84">
        <v>7</v>
      </c>
      <c r="W76" s="84">
        <v>7</v>
      </c>
      <c r="X76" s="84">
        <v>7</v>
      </c>
      <c r="Y76" s="84">
        <v>7</v>
      </c>
      <c r="Z76" s="84">
        <v>8</v>
      </c>
      <c r="AA76" s="84">
        <v>8</v>
      </c>
      <c r="AB76" s="84">
        <v>8</v>
      </c>
      <c r="AC76" s="84">
        <v>8</v>
      </c>
      <c r="AD76" s="84">
        <v>8</v>
      </c>
      <c r="AE76" s="84">
        <v>8</v>
      </c>
      <c r="AF76" s="84">
        <v>8</v>
      </c>
      <c r="AG76" s="82"/>
      <c r="AH76" s="52">
        <f t="shared" si="9"/>
        <v>8</v>
      </c>
      <c r="AI76" s="53">
        <f t="shared" si="10"/>
        <v>7</v>
      </c>
      <c r="AK76" s="54"/>
    </row>
    <row r="77" spans="1:40" ht="15.75" thickBot="1" x14ac:dyDescent="0.3">
      <c r="A77" s="60" t="s">
        <v>85</v>
      </c>
      <c r="B77" s="84">
        <v>5</v>
      </c>
      <c r="C77" s="84">
        <v>5</v>
      </c>
      <c r="D77" s="84">
        <v>5</v>
      </c>
      <c r="E77" s="84">
        <v>5</v>
      </c>
      <c r="F77" s="84">
        <v>5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5</v>
      </c>
      <c r="Q77" s="84">
        <v>5</v>
      </c>
      <c r="R77" s="84">
        <v>5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7</v>
      </c>
      <c r="AC77" s="84">
        <v>7</v>
      </c>
      <c r="AD77" s="84">
        <v>7</v>
      </c>
      <c r="AE77" s="84">
        <v>7</v>
      </c>
      <c r="AF77" s="84">
        <v>7</v>
      </c>
      <c r="AG77" s="82"/>
      <c r="AH77" s="52">
        <f t="shared" si="9"/>
        <v>7</v>
      </c>
      <c r="AI77" s="53">
        <f t="shared" si="10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220">
        <v>0</v>
      </c>
      <c r="M78" s="84">
        <v>0</v>
      </c>
      <c r="N78" s="84">
        <v>0</v>
      </c>
      <c r="O78" s="84">
        <v>5</v>
      </c>
      <c r="P78" s="84">
        <v>5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9"/>
        <v>5</v>
      </c>
      <c r="AI78" s="53">
        <f t="shared" si="10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2" t="s">
        <v>88</v>
      </c>
      <c r="B79" s="220">
        <v>4.5</v>
      </c>
      <c r="C79" s="220">
        <v>4.5</v>
      </c>
      <c r="D79" s="220">
        <v>4.5</v>
      </c>
      <c r="E79" s="220">
        <v>4.5</v>
      </c>
      <c r="F79" s="220">
        <v>4.5</v>
      </c>
      <c r="G79" s="220">
        <v>4.5</v>
      </c>
      <c r="H79" s="220">
        <v>4.5</v>
      </c>
      <c r="I79" s="84">
        <v>4.5</v>
      </c>
      <c r="J79" s="84">
        <v>5</v>
      </c>
      <c r="K79" s="84">
        <v>5</v>
      </c>
      <c r="L79" s="84">
        <v>5</v>
      </c>
      <c r="M79" s="84">
        <v>5</v>
      </c>
      <c r="N79" s="84">
        <v>5</v>
      </c>
      <c r="O79" s="84">
        <v>5</v>
      </c>
      <c r="P79" s="84">
        <v>5</v>
      </c>
      <c r="Q79" s="84">
        <v>5</v>
      </c>
      <c r="R79" s="84">
        <v>5</v>
      </c>
      <c r="S79" s="84">
        <v>5</v>
      </c>
      <c r="T79" s="84">
        <v>4</v>
      </c>
      <c r="U79" s="84">
        <v>4</v>
      </c>
      <c r="V79" s="84">
        <v>4</v>
      </c>
      <c r="W79" s="84">
        <v>4</v>
      </c>
      <c r="X79" s="84">
        <v>4</v>
      </c>
      <c r="Y79" s="84">
        <v>4</v>
      </c>
      <c r="Z79" s="84">
        <v>4</v>
      </c>
      <c r="AA79" s="84">
        <v>8</v>
      </c>
      <c r="AB79" s="84">
        <v>8</v>
      </c>
      <c r="AC79" s="84">
        <v>8</v>
      </c>
      <c r="AD79" s="84">
        <v>8</v>
      </c>
      <c r="AE79" s="84">
        <v>7</v>
      </c>
      <c r="AF79" s="84">
        <v>7</v>
      </c>
      <c r="AG79" s="82"/>
      <c r="AH79" s="52">
        <f t="shared" si="9"/>
        <v>8</v>
      </c>
      <c r="AI79" s="53">
        <f t="shared" si="10"/>
        <v>4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9"/>
        <v>0</v>
      </c>
      <c r="AI80" s="53">
        <f t="shared" si="10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9"/>
        <v>0</v>
      </c>
      <c r="AI81" s="53">
        <f t="shared" si="10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:AF82" si="11">SUMIF(B71:B81,"&gt;0")</f>
        <v>531.6</v>
      </c>
      <c r="C82" s="67">
        <f t="shared" si="11"/>
        <v>520.79999999999995</v>
      </c>
      <c r="D82" s="67">
        <f t="shared" si="11"/>
        <v>566.5</v>
      </c>
      <c r="E82" s="67">
        <f t="shared" si="11"/>
        <v>579.70000000000005</v>
      </c>
      <c r="F82" s="67">
        <f t="shared" si="11"/>
        <v>569.1</v>
      </c>
      <c r="G82" s="67">
        <f t="shared" si="11"/>
        <v>585.59999999999991</v>
      </c>
      <c r="H82" s="67">
        <f t="shared" si="11"/>
        <v>578.4</v>
      </c>
      <c r="I82" s="67">
        <f t="shared" si="11"/>
        <v>579.90000000000009</v>
      </c>
      <c r="J82" s="67">
        <f t="shared" si="11"/>
        <v>615</v>
      </c>
      <c r="K82" s="67">
        <f t="shared" si="11"/>
        <v>592.4</v>
      </c>
      <c r="L82" s="67">
        <f t="shared" si="11"/>
        <v>589.5</v>
      </c>
      <c r="M82" s="67">
        <f t="shared" si="11"/>
        <v>588.4</v>
      </c>
      <c r="N82" s="67">
        <f t="shared" si="11"/>
        <v>617.5</v>
      </c>
      <c r="O82" s="67">
        <f t="shared" si="11"/>
        <v>639.9</v>
      </c>
      <c r="P82" s="67">
        <f t="shared" si="11"/>
        <v>663.1</v>
      </c>
      <c r="Q82" s="67">
        <f t="shared" si="11"/>
        <v>603.59999999999991</v>
      </c>
      <c r="R82" s="67">
        <f t="shared" si="11"/>
        <v>637.70000000000005</v>
      </c>
      <c r="S82" s="67">
        <f t="shared" si="11"/>
        <v>595.6</v>
      </c>
      <c r="T82" s="67">
        <f t="shared" si="11"/>
        <v>586.9</v>
      </c>
      <c r="U82" s="67">
        <f t="shared" si="11"/>
        <v>543.19999999999993</v>
      </c>
      <c r="V82" s="67">
        <f t="shared" si="11"/>
        <v>593.1</v>
      </c>
      <c r="W82" s="67">
        <f t="shared" si="11"/>
        <v>558.1</v>
      </c>
      <c r="X82" s="67">
        <f t="shared" si="11"/>
        <v>584.5</v>
      </c>
      <c r="Y82" s="67">
        <f t="shared" si="11"/>
        <v>559.6</v>
      </c>
      <c r="Z82" s="67">
        <f t="shared" si="11"/>
        <v>573.4</v>
      </c>
      <c r="AA82" s="67">
        <f t="shared" si="11"/>
        <v>496.90000000000003</v>
      </c>
      <c r="AB82" s="67">
        <f t="shared" si="11"/>
        <v>526.29999999999995</v>
      </c>
      <c r="AC82" s="67">
        <f t="shared" si="11"/>
        <v>593</v>
      </c>
      <c r="AD82" s="67">
        <f t="shared" si="11"/>
        <v>601</v>
      </c>
      <c r="AE82" s="67">
        <f t="shared" si="11"/>
        <v>584</v>
      </c>
      <c r="AF82" s="67">
        <f t="shared" si="11"/>
        <v>575</v>
      </c>
      <c r="AG82" s="95">
        <f>SUM(AG71:AG81)</f>
        <v>0</v>
      </c>
      <c r="AH82" s="52">
        <f t="shared" si="9"/>
        <v>663.1</v>
      </c>
      <c r="AI82" s="53">
        <f t="shared" si="10"/>
        <v>496.90000000000003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9"/>
        <v>0</v>
      </c>
      <c r="AI83" s="53">
        <f t="shared" si="10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9"/>
        <v>0</v>
      </c>
      <c r="AI84" s="53">
        <f t="shared" si="10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9"/>
        <v>0</v>
      </c>
      <c r="AI85" s="53">
        <f t="shared" si="10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9"/>
        <v>0</v>
      </c>
      <c r="AI86" s="53">
        <f t="shared" si="10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:AG87" si="12">B48+B52+B70+B66+B82+B86</f>
        <v>1462.56</v>
      </c>
      <c r="C87" s="102">
        <f t="shared" si="12"/>
        <v>1368.96</v>
      </c>
      <c r="D87" s="102">
        <f t="shared" si="12"/>
        <v>1334.66</v>
      </c>
      <c r="E87" s="102">
        <f t="shared" si="12"/>
        <v>1378.1599999999999</v>
      </c>
      <c r="F87" s="102">
        <f t="shared" si="12"/>
        <v>1356.24</v>
      </c>
      <c r="G87" s="102">
        <f t="shared" si="12"/>
        <v>1380.34</v>
      </c>
      <c r="H87" s="102">
        <f t="shared" si="12"/>
        <v>1367.94</v>
      </c>
      <c r="I87" s="102">
        <f t="shared" si="12"/>
        <v>1397.44</v>
      </c>
      <c r="J87" s="102">
        <f t="shared" si="12"/>
        <v>1459.74</v>
      </c>
      <c r="K87" s="102">
        <f t="shared" si="12"/>
        <v>1453.8400000000001</v>
      </c>
      <c r="L87" s="102">
        <f t="shared" si="12"/>
        <v>1442.8400000000001</v>
      </c>
      <c r="M87" s="102">
        <f t="shared" si="12"/>
        <v>1401.6190000000001</v>
      </c>
      <c r="N87" s="102">
        <f t="shared" si="12"/>
        <v>1375.9389999999999</v>
      </c>
      <c r="O87" s="102">
        <f t="shared" si="12"/>
        <v>1386.44</v>
      </c>
      <c r="P87" s="102">
        <f t="shared" si="12"/>
        <v>1465.3400000000001</v>
      </c>
      <c r="Q87" s="102">
        <f t="shared" si="12"/>
        <v>1556.44</v>
      </c>
      <c r="R87" s="102">
        <f t="shared" si="12"/>
        <v>1590.04</v>
      </c>
      <c r="S87" s="102">
        <f t="shared" si="12"/>
        <v>1611.04</v>
      </c>
      <c r="T87" s="102">
        <f t="shared" si="12"/>
        <v>1468.44</v>
      </c>
      <c r="U87" s="102">
        <f t="shared" si="12"/>
        <v>1473.7400000000002</v>
      </c>
      <c r="V87" s="102">
        <f t="shared" si="12"/>
        <v>1481.04</v>
      </c>
      <c r="W87" s="102">
        <f t="shared" si="12"/>
        <v>1433.14</v>
      </c>
      <c r="X87" s="102">
        <f t="shared" si="12"/>
        <v>1422.44</v>
      </c>
      <c r="Y87" s="102">
        <f t="shared" si="12"/>
        <v>1465.6400000000003</v>
      </c>
      <c r="Z87" s="102">
        <f t="shared" si="12"/>
        <v>1588.44</v>
      </c>
      <c r="AA87" s="102">
        <f t="shared" si="12"/>
        <v>1599.54</v>
      </c>
      <c r="AB87" s="102">
        <f t="shared" si="12"/>
        <v>1561.84</v>
      </c>
      <c r="AC87" s="102">
        <f t="shared" si="12"/>
        <v>1547.54</v>
      </c>
      <c r="AD87" s="102">
        <f t="shared" si="12"/>
        <v>1521.04</v>
      </c>
      <c r="AE87" s="102">
        <f t="shared" si="12"/>
        <v>1526.94</v>
      </c>
      <c r="AF87" s="102">
        <f t="shared" si="12"/>
        <v>1479.94</v>
      </c>
      <c r="AG87" s="68">
        <f t="shared" si="12"/>
        <v>2065.09</v>
      </c>
      <c r="AH87" s="52">
        <f>MAX(B87:AF87)</f>
        <v>1611.04</v>
      </c>
      <c r="AI87" s="53">
        <f>MIN(B87:AF87)</f>
        <v>1334.66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>
        <v>180</v>
      </c>
      <c r="N88" s="104">
        <v>180</v>
      </c>
      <c r="O88" s="104">
        <v>180</v>
      </c>
      <c r="P88" s="104">
        <v>80</v>
      </c>
      <c r="Q88" s="104"/>
      <c r="R88" s="104"/>
      <c r="S88" s="104"/>
      <c r="T88" s="104"/>
      <c r="U88" s="104"/>
      <c r="V88" s="104"/>
      <c r="W88" s="104"/>
      <c r="X88" s="104"/>
      <c r="Y88" s="104">
        <v>150</v>
      </c>
      <c r="Z88" s="104">
        <v>150</v>
      </c>
      <c r="AA88" s="104">
        <v>200</v>
      </c>
      <c r="AB88" s="104">
        <v>200</v>
      </c>
      <c r="AC88" s="104">
        <v>200</v>
      </c>
      <c r="AD88" s="104">
        <v>0</v>
      </c>
      <c r="AE88" s="104"/>
      <c r="AF88" s="104"/>
      <c r="AG88" s="95"/>
      <c r="AH88" s="52">
        <f t="shared" si="9"/>
        <v>200</v>
      </c>
      <c r="AI88" s="53">
        <f t="shared" si="10"/>
        <v>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:AF89" si="13">B87+B88</f>
        <v>1462.56</v>
      </c>
      <c r="C89" s="102">
        <f t="shared" si="13"/>
        <v>1368.96</v>
      </c>
      <c r="D89" s="102">
        <f t="shared" si="13"/>
        <v>1334.66</v>
      </c>
      <c r="E89" s="102">
        <f t="shared" si="13"/>
        <v>1378.1599999999999</v>
      </c>
      <c r="F89" s="102">
        <f t="shared" si="13"/>
        <v>1356.24</v>
      </c>
      <c r="G89" s="102">
        <f t="shared" si="13"/>
        <v>1380.34</v>
      </c>
      <c r="H89" s="102">
        <f t="shared" si="13"/>
        <v>1367.94</v>
      </c>
      <c r="I89" s="102">
        <f t="shared" si="13"/>
        <v>1397.44</v>
      </c>
      <c r="J89" s="102">
        <f t="shared" si="13"/>
        <v>1459.74</v>
      </c>
      <c r="K89" s="102">
        <f t="shared" si="13"/>
        <v>1453.8400000000001</v>
      </c>
      <c r="L89" s="102">
        <f t="shared" si="13"/>
        <v>1442.8400000000001</v>
      </c>
      <c r="M89" s="102">
        <f t="shared" si="13"/>
        <v>1581.6190000000001</v>
      </c>
      <c r="N89" s="102">
        <f t="shared" si="13"/>
        <v>1555.9389999999999</v>
      </c>
      <c r="O89" s="102">
        <f t="shared" si="13"/>
        <v>1566.44</v>
      </c>
      <c r="P89" s="102">
        <f t="shared" si="13"/>
        <v>1545.3400000000001</v>
      </c>
      <c r="Q89" s="102">
        <f t="shared" si="13"/>
        <v>1556.44</v>
      </c>
      <c r="R89" s="102">
        <f t="shared" si="13"/>
        <v>1590.04</v>
      </c>
      <c r="S89" s="102">
        <f t="shared" si="13"/>
        <v>1611.04</v>
      </c>
      <c r="T89" s="102">
        <f t="shared" si="13"/>
        <v>1468.44</v>
      </c>
      <c r="U89" s="102">
        <f t="shared" si="13"/>
        <v>1473.7400000000002</v>
      </c>
      <c r="V89" s="102">
        <f t="shared" si="13"/>
        <v>1481.04</v>
      </c>
      <c r="W89" s="102">
        <f t="shared" si="13"/>
        <v>1433.14</v>
      </c>
      <c r="X89" s="102">
        <f t="shared" si="13"/>
        <v>1422.44</v>
      </c>
      <c r="Y89" s="102">
        <f t="shared" si="13"/>
        <v>1615.6400000000003</v>
      </c>
      <c r="Z89" s="102">
        <f t="shared" si="13"/>
        <v>1738.44</v>
      </c>
      <c r="AA89" s="102">
        <f t="shared" si="13"/>
        <v>1799.54</v>
      </c>
      <c r="AB89" s="102">
        <f t="shared" si="13"/>
        <v>1761.84</v>
      </c>
      <c r="AC89" s="102">
        <f t="shared" si="13"/>
        <v>1747.54</v>
      </c>
      <c r="AD89" s="102">
        <f t="shared" si="13"/>
        <v>1521.04</v>
      </c>
      <c r="AE89" s="102">
        <f t="shared" si="13"/>
        <v>1526.94</v>
      </c>
      <c r="AF89" s="102">
        <f t="shared" si="13"/>
        <v>1479.94</v>
      </c>
      <c r="AG89" s="95">
        <f>AG86+AG82+AG70+AG66+AG48+AG88</f>
        <v>1526.99</v>
      </c>
      <c r="AH89" s="52">
        <f t="shared" si="9"/>
        <v>1799.54</v>
      </c>
      <c r="AI89" s="53">
        <f t="shared" si="10"/>
        <v>1334.66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:AF90" si="14">B89-B97</f>
        <v>1462.56</v>
      </c>
      <c r="C90" s="102">
        <f t="shared" si="14"/>
        <v>1368.96</v>
      </c>
      <c r="D90" s="102">
        <f t="shared" si="14"/>
        <v>1334.66</v>
      </c>
      <c r="E90" s="102">
        <f t="shared" si="14"/>
        <v>1378.1599999999999</v>
      </c>
      <c r="F90" s="102">
        <f t="shared" si="14"/>
        <v>1356.24</v>
      </c>
      <c r="G90" s="102">
        <f t="shared" si="14"/>
        <v>1380.34</v>
      </c>
      <c r="H90" s="102">
        <f t="shared" si="14"/>
        <v>1367.94</v>
      </c>
      <c r="I90" s="102">
        <f t="shared" si="14"/>
        <v>1397.44</v>
      </c>
      <c r="J90" s="102">
        <f t="shared" si="14"/>
        <v>1459.74</v>
      </c>
      <c r="K90" s="102">
        <f t="shared" si="14"/>
        <v>1453.8400000000001</v>
      </c>
      <c r="L90" s="102">
        <f t="shared" si="14"/>
        <v>1442.8400000000001</v>
      </c>
      <c r="M90" s="102">
        <f t="shared" si="14"/>
        <v>1581.6190000000001</v>
      </c>
      <c r="N90" s="102">
        <f t="shared" si="14"/>
        <v>1555.9389999999999</v>
      </c>
      <c r="O90" s="102">
        <f t="shared" si="14"/>
        <v>1566.44</v>
      </c>
      <c r="P90" s="102">
        <f t="shared" si="14"/>
        <v>1545.3400000000001</v>
      </c>
      <c r="Q90" s="102">
        <f t="shared" si="14"/>
        <v>1556.44</v>
      </c>
      <c r="R90" s="102">
        <f t="shared" si="14"/>
        <v>1590.04</v>
      </c>
      <c r="S90" s="102">
        <f t="shared" si="14"/>
        <v>1611.04</v>
      </c>
      <c r="T90" s="102">
        <f t="shared" si="14"/>
        <v>1468.44</v>
      </c>
      <c r="U90" s="102">
        <f t="shared" si="14"/>
        <v>1473.7400000000002</v>
      </c>
      <c r="V90" s="102">
        <f t="shared" si="14"/>
        <v>1481.04</v>
      </c>
      <c r="W90" s="102">
        <f t="shared" si="14"/>
        <v>1433.14</v>
      </c>
      <c r="X90" s="102">
        <f t="shared" si="14"/>
        <v>1422.44</v>
      </c>
      <c r="Y90" s="102">
        <f t="shared" si="14"/>
        <v>1615.6400000000003</v>
      </c>
      <c r="Z90" s="102">
        <f t="shared" si="14"/>
        <v>1738.44</v>
      </c>
      <c r="AA90" s="102">
        <f t="shared" si="14"/>
        <v>1799.54</v>
      </c>
      <c r="AB90" s="102">
        <f t="shared" si="14"/>
        <v>1761.84</v>
      </c>
      <c r="AC90" s="102">
        <f t="shared" si="14"/>
        <v>1747.54</v>
      </c>
      <c r="AD90" s="102">
        <f t="shared" si="14"/>
        <v>1521.04</v>
      </c>
      <c r="AE90" s="102">
        <f t="shared" si="14"/>
        <v>1526.94</v>
      </c>
      <c r="AF90" s="102">
        <f t="shared" si="14"/>
        <v>1479.94</v>
      </c>
      <c r="AG90" s="95"/>
      <c r="AH90" s="52">
        <f t="shared" si="9"/>
        <v>1799.54</v>
      </c>
      <c r="AI90" s="53">
        <f t="shared" si="10"/>
        <v>1334.66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9"/>
        <v>0</v>
      </c>
      <c r="AI91" s="53">
        <f t="shared" si="10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9"/>
        <v>0</v>
      </c>
      <c r="AI92" s="53">
        <f t="shared" si="10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9"/>
        <v>0</v>
      </c>
      <c r="AI93" s="53">
        <f t="shared" si="10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9"/>
        <v>0</v>
      </c>
      <c r="AI94" s="53">
        <f t="shared" si="10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9"/>
        <v>0</v>
      </c>
      <c r="AI95" s="53">
        <f t="shared" si="10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9"/>
        <v>0</v>
      </c>
      <c r="AI96" s="53">
        <f t="shared" si="10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9"/>
        <v>0</v>
      </c>
      <c r="AI97" s="53">
        <f t="shared" si="10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:AF98" si="15">B82-B97</f>
        <v>531.6</v>
      </c>
      <c r="C98" s="67">
        <f t="shared" si="15"/>
        <v>520.79999999999995</v>
      </c>
      <c r="D98" s="67">
        <f t="shared" si="15"/>
        <v>566.5</v>
      </c>
      <c r="E98" s="67">
        <f t="shared" si="15"/>
        <v>579.70000000000005</v>
      </c>
      <c r="F98" s="67">
        <f t="shared" si="15"/>
        <v>569.1</v>
      </c>
      <c r="G98" s="67">
        <f t="shared" si="15"/>
        <v>585.59999999999991</v>
      </c>
      <c r="H98" s="67">
        <f t="shared" si="15"/>
        <v>578.4</v>
      </c>
      <c r="I98" s="67">
        <f t="shared" si="15"/>
        <v>579.90000000000009</v>
      </c>
      <c r="J98" s="67">
        <f t="shared" si="15"/>
        <v>615</v>
      </c>
      <c r="K98" s="67">
        <f t="shared" si="15"/>
        <v>592.4</v>
      </c>
      <c r="L98" s="67">
        <f t="shared" si="15"/>
        <v>589.5</v>
      </c>
      <c r="M98" s="67">
        <f t="shared" si="15"/>
        <v>588.4</v>
      </c>
      <c r="N98" s="67">
        <f t="shared" si="15"/>
        <v>617.5</v>
      </c>
      <c r="O98" s="67">
        <f t="shared" si="15"/>
        <v>639.9</v>
      </c>
      <c r="P98" s="67">
        <f t="shared" si="15"/>
        <v>663.1</v>
      </c>
      <c r="Q98" s="67">
        <f t="shared" si="15"/>
        <v>603.59999999999991</v>
      </c>
      <c r="R98" s="67">
        <f t="shared" si="15"/>
        <v>637.70000000000005</v>
      </c>
      <c r="S98" s="67">
        <f t="shared" si="15"/>
        <v>595.6</v>
      </c>
      <c r="T98" s="67">
        <f t="shared" si="15"/>
        <v>586.9</v>
      </c>
      <c r="U98" s="67">
        <f t="shared" si="15"/>
        <v>543.19999999999993</v>
      </c>
      <c r="V98" s="67">
        <f t="shared" si="15"/>
        <v>593.1</v>
      </c>
      <c r="W98" s="67">
        <f t="shared" si="15"/>
        <v>558.1</v>
      </c>
      <c r="X98" s="67">
        <f t="shared" si="15"/>
        <v>584.5</v>
      </c>
      <c r="Y98" s="67">
        <f t="shared" si="15"/>
        <v>559.6</v>
      </c>
      <c r="Z98" s="67">
        <f t="shared" si="15"/>
        <v>573.4</v>
      </c>
      <c r="AA98" s="67">
        <f t="shared" si="15"/>
        <v>496.90000000000003</v>
      </c>
      <c r="AB98" s="67">
        <f t="shared" si="15"/>
        <v>526.29999999999995</v>
      </c>
      <c r="AC98" s="67">
        <f t="shared" si="15"/>
        <v>593</v>
      </c>
      <c r="AD98" s="67">
        <f t="shared" si="15"/>
        <v>601</v>
      </c>
      <c r="AE98" s="67">
        <f t="shared" si="15"/>
        <v>584</v>
      </c>
      <c r="AF98" s="67">
        <f t="shared" si="15"/>
        <v>575</v>
      </c>
      <c r="AG98" s="95"/>
      <c r="AH98" s="52">
        <f t="shared" si="9"/>
        <v>663.1</v>
      </c>
      <c r="AI98" s="53">
        <f t="shared" si="10"/>
        <v>496.90000000000003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49.994999999999997</v>
      </c>
      <c r="C99" s="108">
        <v>50</v>
      </c>
      <c r="D99" s="108">
        <v>49.938000000000002</v>
      </c>
      <c r="E99" s="108">
        <v>50.042999999999999</v>
      </c>
      <c r="F99" s="108">
        <v>50.06</v>
      </c>
      <c r="G99" s="108">
        <v>49.948999999999998</v>
      </c>
      <c r="H99" s="108">
        <v>49.914999999999999</v>
      </c>
      <c r="I99" s="108">
        <v>50.03</v>
      </c>
      <c r="J99" s="108">
        <v>49.997999999999998</v>
      </c>
      <c r="K99" s="108">
        <v>50.079000000000001</v>
      </c>
      <c r="L99" s="108">
        <v>49.987000000000002</v>
      </c>
      <c r="M99" s="108">
        <v>49.99</v>
      </c>
      <c r="N99" s="108">
        <v>50.027999999999999</v>
      </c>
      <c r="O99" s="108">
        <v>49.975999999999999</v>
      </c>
      <c r="P99" s="108">
        <v>50.01</v>
      </c>
      <c r="Q99" s="108">
        <v>49.936999999999998</v>
      </c>
      <c r="R99" s="108">
        <v>49.99</v>
      </c>
      <c r="S99" s="108">
        <v>49.996000000000002</v>
      </c>
      <c r="T99" s="108">
        <v>50.088999999999999</v>
      </c>
      <c r="U99" s="108">
        <v>50.058999999999997</v>
      </c>
      <c r="V99" s="108">
        <v>50.036999999999999</v>
      </c>
      <c r="W99" s="108">
        <v>49.966999999999999</v>
      </c>
      <c r="X99" s="108">
        <v>49.948</v>
      </c>
      <c r="Y99" s="108">
        <v>50</v>
      </c>
      <c r="Z99" s="108">
        <v>49.984000000000002</v>
      </c>
      <c r="AA99" s="108">
        <v>49.781999999999996</v>
      </c>
      <c r="AB99" s="108">
        <v>49.97</v>
      </c>
      <c r="AC99" s="108">
        <v>50.02</v>
      </c>
      <c r="AD99" s="108">
        <v>50.04</v>
      </c>
      <c r="AE99" s="108">
        <v>50.026000000000003</v>
      </c>
      <c r="AF99" s="108">
        <v>50.055999999999997</v>
      </c>
      <c r="AG99" s="109"/>
      <c r="AH99" s="52">
        <f t="shared" si="9"/>
        <v>50.088999999999999</v>
      </c>
      <c r="AI99" s="53">
        <f t="shared" si="10"/>
        <v>49.781999999999996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125.8</v>
      </c>
      <c r="C100" s="72">
        <v>127</v>
      </c>
      <c r="D100" s="72">
        <v>126.9</v>
      </c>
      <c r="E100" s="72">
        <v>126.4</v>
      </c>
      <c r="F100" s="72">
        <v>128.30000000000001</v>
      </c>
      <c r="G100" s="72">
        <v>128.30000000000001</v>
      </c>
      <c r="H100" s="72">
        <v>127.2</v>
      </c>
      <c r="I100" s="72">
        <v>126.3</v>
      </c>
      <c r="J100" s="72">
        <v>125.3</v>
      </c>
      <c r="K100" s="72">
        <v>127.2</v>
      </c>
      <c r="L100" s="72">
        <v>125.5</v>
      </c>
      <c r="M100" s="72">
        <v>126.3</v>
      </c>
      <c r="N100" s="72">
        <v>125.8</v>
      </c>
      <c r="O100" s="72">
        <v>125.1</v>
      </c>
      <c r="P100" s="72">
        <v>123.6</v>
      </c>
      <c r="Q100" s="72">
        <v>123.9</v>
      </c>
      <c r="R100" s="72">
        <v>125.4</v>
      </c>
      <c r="S100" s="72">
        <v>124</v>
      </c>
      <c r="T100" s="72">
        <v>124.7</v>
      </c>
      <c r="U100" s="72">
        <v>123.8</v>
      </c>
      <c r="V100" s="72">
        <v>127</v>
      </c>
      <c r="W100" s="72">
        <v>128.6</v>
      </c>
      <c r="X100" s="72">
        <v>127.7</v>
      </c>
      <c r="Y100" s="72">
        <v>129.1</v>
      </c>
      <c r="Z100" s="72">
        <v>125.8</v>
      </c>
      <c r="AA100" s="72">
        <v>126.6</v>
      </c>
      <c r="AB100" s="72">
        <v>128</v>
      </c>
      <c r="AC100" s="72">
        <v>128</v>
      </c>
      <c r="AD100" s="72">
        <v>126.4</v>
      </c>
      <c r="AE100" s="72">
        <v>128</v>
      </c>
      <c r="AF100" s="72">
        <v>128</v>
      </c>
      <c r="AG100" s="111"/>
      <c r="AH100" s="52">
        <f t="shared" si="9"/>
        <v>129.1</v>
      </c>
      <c r="AI100" s="53">
        <f t="shared" si="10"/>
        <v>123.6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129.9</v>
      </c>
      <c r="C101" s="72">
        <v>131</v>
      </c>
      <c r="D101" s="72">
        <v>131.19999999999999</v>
      </c>
      <c r="E101" s="72">
        <v>131.4</v>
      </c>
      <c r="F101" s="72">
        <v>132.1</v>
      </c>
      <c r="G101" s="72">
        <v>131.1</v>
      </c>
      <c r="H101" s="72">
        <v>130.9</v>
      </c>
      <c r="I101" s="72">
        <v>129.69999999999999</v>
      </c>
      <c r="J101" s="72">
        <v>129.19999999999999</v>
      </c>
      <c r="K101" s="72">
        <v>129.69999999999999</v>
      </c>
      <c r="L101" s="72">
        <v>128.5</v>
      </c>
      <c r="M101" s="72">
        <v>128.5</v>
      </c>
      <c r="N101" s="72">
        <v>128</v>
      </c>
      <c r="O101" s="72">
        <v>127.1</v>
      </c>
      <c r="P101" s="72">
        <v>126.5</v>
      </c>
      <c r="Q101" s="72">
        <v>127.5</v>
      </c>
      <c r="R101" s="72">
        <v>128.19999999999999</v>
      </c>
      <c r="S101" s="72">
        <v>127.8</v>
      </c>
      <c r="T101" s="72">
        <v>128.30000000000001</v>
      </c>
      <c r="U101" s="72">
        <v>127.4</v>
      </c>
      <c r="V101" s="72">
        <v>129.4</v>
      </c>
      <c r="W101" s="72">
        <v>131</v>
      </c>
      <c r="X101" s="72">
        <v>130.4</v>
      </c>
      <c r="Y101" s="72">
        <v>131.30000000000001</v>
      </c>
      <c r="Z101" s="72">
        <v>128.30000000000001</v>
      </c>
      <c r="AA101" s="72">
        <v>128.9</v>
      </c>
      <c r="AB101" s="72">
        <v>131.19999999999999</v>
      </c>
      <c r="AC101" s="72">
        <v>131.19999999999999</v>
      </c>
      <c r="AD101" s="72">
        <v>130</v>
      </c>
      <c r="AE101" s="72">
        <v>132</v>
      </c>
      <c r="AF101" s="72">
        <v>132</v>
      </c>
      <c r="AG101" s="111"/>
      <c r="AH101" s="52">
        <f t="shared" si="9"/>
        <v>132.1</v>
      </c>
      <c r="AI101" s="53">
        <f t="shared" si="10"/>
        <v>126.5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128.80000000000001</v>
      </c>
      <c r="C102" s="72">
        <v>127.5</v>
      </c>
      <c r="D102" s="72">
        <v>129.5</v>
      </c>
      <c r="E102" s="72">
        <v>129.1</v>
      </c>
      <c r="F102" s="72">
        <v>129</v>
      </c>
      <c r="G102" s="72">
        <v>128.30000000000001</v>
      </c>
      <c r="H102" s="72">
        <v>130.9</v>
      </c>
      <c r="I102" s="72">
        <v>127.6</v>
      </c>
      <c r="J102" s="72">
        <v>125.6</v>
      </c>
      <c r="K102" s="72">
        <v>129.69999999999999</v>
      </c>
      <c r="L102" s="72">
        <v>129.80000000000001</v>
      </c>
      <c r="M102" s="72">
        <v>128</v>
      </c>
      <c r="N102" s="72">
        <v>128</v>
      </c>
      <c r="O102" s="72">
        <v>125.9</v>
      </c>
      <c r="P102" s="72">
        <v>120.8</v>
      </c>
      <c r="Q102" s="72">
        <v>126.3</v>
      </c>
      <c r="R102" s="72">
        <v>124.8</v>
      </c>
      <c r="S102" s="72">
        <v>126.8</v>
      </c>
      <c r="T102" s="72">
        <v>127.5</v>
      </c>
      <c r="U102" s="72">
        <v>126.5</v>
      </c>
      <c r="V102" s="72">
        <v>128.80000000000001</v>
      </c>
      <c r="W102" s="72">
        <v>127.5</v>
      </c>
      <c r="X102" s="72">
        <v>127.2</v>
      </c>
      <c r="Y102" s="72">
        <v>124.6</v>
      </c>
      <c r="Z102" s="72">
        <v>127.7</v>
      </c>
      <c r="AA102" s="72">
        <v>125.4</v>
      </c>
      <c r="AB102" s="72">
        <v>124.8</v>
      </c>
      <c r="AC102" s="72">
        <v>124.8</v>
      </c>
      <c r="AD102" s="72">
        <v>125</v>
      </c>
      <c r="AE102" s="72">
        <v>130</v>
      </c>
      <c r="AF102" s="72">
        <v>130</v>
      </c>
      <c r="AG102" s="111"/>
      <c r="AH102" s="52">
        <f t="shared" si="9"/>
        <v>130.9</v>
      </c>
      <c r="AI102" s="53">
        <f t="shared" si="10"/>
        <v>120.8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9"/>
        <v>0</v>
      </c>
      <c r="AI103" s="53">
        <f t="shared" si="10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129.1</v>
      </c>
      <c r="C104" s="113">
        <v>131</v>
      </c>
      <c r="D104" s="113">
        <v>127</v>
      </c>
      <c r="E104" s="113">
        <v>132.6</v>
      </c>
      <c r="F104" s="113">
        <v>133.4</v>
      </c>
      <c r="G104" s="113">
        <v>132.9</v>
      </c>
      <c r="H104" s="113">
        <v>134</v>
      </c>
      <c r="I104" s="113">
        <v>134.1</v>
      </c>
      <c r="J104" s="113">
        <v>135.6</v>
      </c>
      <c r="K104" s="113">
        <v>135.9</v>
      </c>
      <c r="L104" s="113">
        <v>134.69999999999999</v>
      </c>
      <c r="M104" s="113">
        <v>135.69999999999999</v>
      </c>
      <c r="N104" s="113">
        <v>131.69999999999999</v>
      </c>
      <c r="O104" s="113">
        <v>131.19999999999999</v>
      </c>
      <c r="P104" s="113">
        <v>132.1</v>
      </c>
      <c r="Q104" s="113">
        <v>134.19999999999999</v>
      </c>
      <c r="R104" s="113">
        <v>133.1</v>
      </c>
      <c r="S104" s="113">
        <v>130</v>
      </c>
      <c r="T104" s="113">
        <v>126.6</v>
      </c>
      <c r="U104" s="113">
        <v>129.19999999999999</v>
      </c>
      <c r="V104" s="113">
        <v>132.19999999999999</v>
      </c>
      <c r="W104" s="113">
        <v>134.30000000000001</v>
      </c>
      <c r="X104" s="113">
        <v>133.1</v>
      </c>
      <c r="Y104" s="113">
        <v>136.5</v>
      </c>
      <c r="Z104" s="113">
        <v>131.80000000000001</v>
      </c>
      <c r="AA104" s="113">
        <v>130.9</v>
      </c>
      <c r="AB104" s="113">
        <v>134.6</v>
      </c>
      <c r="AC104" s="113">
        <v>134.6</v>
      </c>
      <c r="AD104" s="113">
        <v>129</v>
      </c>
      <c r="AE104" s="113">
        <v>134.9</v>
      </c>
      <c r="AF104" s="113">
        <v>134.9</v>
      </c>
      <c r="AG104" s="114"/>
      <c r="AH104" s="52">
        <f t="shared" si="9"/>
        <v>136.5</v>
      </c>
      <c r="AI104" s="53">
        <f t="shared" si="10"/>
        <v>126.6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>
        <v>129.4</v>
      </c>
      <c r="V105" s="72">
        <v>133.80000000000001</v>
      </c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111"/>
      <c r="AH105" s="52">
        <f t="shared" si="9"/>
        <v>133.80000000000001</v>
      </c>
      <c r="AI105" s="53">
        <f t="shared" si="10"/>
        <v>129.4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65.099999999999994</v>
      </c>
      <c r="C106" s="99">
        <v>65.7</v>
      </c>
      <c r="D106" s="99">
        <v>65.8</v>
      </c>
      <c r="E106" s="99">
        <v>65.8</v>
      </c>
      <c r="F106" s="99">
        <v>65.8</v>
      </c>
      <c r="G106" s="99">
        <v>65.8</v>
      </c>
      <c r="H106" s="99">
        <v>65.599999999999994</v>
      </c>
      <c r="I106" s="99">
        <v>65</v>
      </c>
      <c r="J106" s="99">
        <v>64.900000000000006</v>
      </c>
      <c r="K106" s="99">
        <v>65</v>
      </c>
      <c r="L106" s="99">
        <v>64.3</v>
      </c>
      <c r="M106" s="99">
        <v>64.599999999999994</v>
      </c>
      <c r="N106" s="99">
        <v>64.099999999999994</v>
      </c>
      <c r="O106" s="99">
        <v>63.6</v>
      </c>
      <c r="P106" s="99">
        <v>63.2</v>
      </c>
      <c r="Q106" s="99">
        <v>63.9</v>
      </c>
      <c r="R106" s="99">
        <v>64.5</v>
      </c>
      <c r="S106" s="99">
        <v>64.5</v>
      </c>
      <c r="T106" s="99">
        <v>64.5</v>
      </c>
      <c r="U106" s="99">
        <v>64</v>
      </c>
      <c r="V106" s="99">
        <v>64.8</v>
      </c>
      <c r="W106" s="99">
        <v>65.7</v>
      </c>
      <c r="X106" s="99">
        <v>65.5</v>
      </c>
      <c r="Y106" s="99">
        <v>65.900000000000006</v>
      </c>
      <c r="Z106" s="99">
        <v>64.7</v>
      </c>
      <c r="AA106" s="99">
        <v>65</v>
      </c>
      <c r="AB106" s="99">
        <v>65.900000000000006</v>
      </c>
      <c r="AC106" s="99">
        <v>65.900000000000006</v>
      </c>
      <c r="AD106" s="99">
        <v>65.3</v>
      </c>
      <c r="AE106" s="99">
        <v>66.3</v>
      </c>
      <c r="AF106" s="99">
        <v>66.3</v>
      </c>
      <c r="AG106" s="115"/>
      <c r="AH106" s="52">
        <f t="shared" si="9"/>
        <v>66.3</v>
      </c>
      <c r="AI106" s="53">
        <f t="shared" si="10"/>
        <v>63.2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9"/>
        <v>0</v>
      </c>
      <c r="AI107" s="53">
        <f t="shared" si="10"/>
        <v>0</v>
      </c>
    </row>
    <row r="108" spans="1:88" ht="15.75" thickBot="1" x14ac:dyDescent="0.3">
      <c r="A108" s="117" t="s">
        <v>116</v>
      </c>
      <c r="B108" s="118">
        <f t="shared" ref="B108:AF108" si="16">SUM(B18,B24,B27:B28,B56,B58:B59,B61,B63,B109:B113,B135,B141,B147,B156,B158,B170,B177,B180:B181,B188,B190,B192,B196:B198,B200:B202,B207,B213:B214,B216:B218,B226,B231)</f>
        <v>124.32000000000002</v>
      </c>
      <c r="C108" s="118">
        <f t="shared" si="16"/>
        <v>115.56000000000002</v>
      </c>
      <c r="D108" s="118">
        <f t="shared" si="16"/>
        <v>107.46000000000001</v>
      </c>
      <c r="E108" s="118">
        <f t="shared" si="16"/>
        <v>88.06</v>
      </c>
      <c r="F108" s="118">
        <f t="shared" si="16"/>
        <v>99.84</v>
      </c>
      <c r="G108" s="118">
        <f t="shared" si="16"/>
        <v>130.24</v>
      </c>
      <c r="H108" s="118">
        <f t="shared" si="16"/>
        <v>164.14</v>
      </c>
      <c r="I108" s="118">
        <f t="shared" si="16"/>
        <v>204.76999999999998</v>
      </c>
      <c r="J108" s="118">
        <f t="shared" si="16"/>
        <v>230.54</v>
      </c>
      <c r="K108" s="118">
        <f t="shared" si="16"/>
        <v>257.24</v>
      </c>
      <c r="L108" s="118">
        <f t="shared" si="16"/>
        <v>258.63999999999993</v>
      </c>
      <c r="M108" s="118">
        <f t="shared" si="16"/>
        <v>284.01899999999995</v>
      </c>
      <c r="N108" s="118">
        <f t="shared" si="16"/>
        <v>271.23899999999998</v>
      </c>
      <c r="O108" s="118">
        <f t="shared" si="16"/>
        <v>271.44</v>
      </c>
      <c r="P108" s="118">
        <v>42</v>
      </c>
      <c r="Q108" s="118">
        <f t="shared" si="16"/>
        <v>262.5</v>
      </c>
      <c r="R108" s="118">
        <f t="shared" si="16"/>
        <v>261.5</v>
      </c>
      <c r="S108" s="118">
        <f t="shared" si="16"/>
        <v>217.4</v>
      </c>
      <c r="T108" s="118">
        <f t="shared" si="16"/>
        <v>230</v>
      </c>
      <c r="U108" s="118">
        <f t="shared" si="16"/>
        <v>242.39999999999998</v>
      </c>
      <c r="V108" s="118">
        <f t="shared" si="16"/>
        <v>238.4</v>
      </c>
      <c r="W108" s="118">
        <f t="shared" si="16"/>
        <v>267.70000000000005</v>
      </c>
      <c r="X108" s="118">
        <f t="shared" si="16"/>
        <v>272.90000000000003</v>
      </c>
      <c r="Y108" s="118">
        <f t="shared" si="16"/>
        <v>252.8</v>
      </c>
      <c r="Z108" s="118">
        <f t="shared" si="16"/>
        <v>271.8</v>
      </c>
      <c r="AA108" s="118">
        <f t="shared" si="16"/>
        <v>298.89999999999998</v>
      </c>
      <c r="AB108" s="118">
        <f t="shared" si="16"/>
        <v>311</v>
      </c>
      <c r="AC108" s="118">
        <f t="shared" si="16"/>
        <v>285.5</v>
      </c>
      <c r="AD108" s="118">
        <f t="shared" si="16"/>
        <v>241.5</v>
      </c>
      <c r="AE108" s="118">
        <f t="shared" si="16"/>
        <v>190.5</v>
      </c>
      <c r="AF108" s="118">
        <f t="shared" si="16"/>
        <v>152.5</v>
      </c>
      <c r="AG108" s="119"/>
      <c r="AH108" s="52">
        <f t="shared" si="9"/>
        <v>311</v>
      </c>
      <c r="AI108" s="53">
        <f t="shared" si="10"/>
        <v>42</v>
      </c>
    </row>
    <row r="109" spans="1:88" x14ac:dyDescent="0.25">
      <c r="A109" s="107" t="s">
        <v>117</v>
      </c>
      <c r="B109" s="120">
        <v>-6.9</v>
      </c>
      <c r="C109" s="120">
        <v>-15.1</v>
      </c>
      <c r="D109" s="120">
        <v>-16</v>
      </c>
      <c r="E109" s="120">
        <v>-9.5</v>
      </c>
      <c r="F109" s="120">
        <v>-16.600000000000001</v>
      </c>
      <c r="G109" s="120">
        <v>-5.0999999999999996</v>
      </c>
      <c r="H109" s="120">
        <v>-2.2000000000000002</v>
      </c>
      <c r="I109" s="120">
        <v>0</v>
      </c>
      <c r="J109" s="120">
        <v>6.9</v>
      </c>
      <c r="K109" s="120">
        <v>17.899999999999999</v>
      </c>
      <c r="L109" s="120">
        <v>20.399999999999999</v>
      </c>
      <c r="M109" s="120">
        <v>14</v>
      </c>
      <c r="N109" s="120">
        <v>-2.9</v>
      </c>
      <c r="O109" s="120">
        <v>-1.6</v>
      </c>
      <c r="P109" s="120">
        <v>5.7</v>
      </c>
      <c r="Q109" s="120">
        <v>16</v>
      </c>
      <c r="R109" s="120">
        <v>10.5</v>
      </c>
      <c r="S109" s="120">
        <v>12.1</v>
      </c>
      <c r="T109" s="120">
        <v>13.7</v>
      </c>
      <c r="U109" s="120">
        <v>9</v>
      </c>
      <c r="V109" s="120">
        <v>4.4000000000000004</v>
      </c>
      <c r="W109" s="120">
        <v>1.8</v>
      </c>
      <c r="X109" s="120">
        <v>6.4</v>
      </c>
      <c r="Y109" s="120">
        <v>15</v>
      </c>
      <c r="Z109" s="120">
        <v>16.399999999999999</v>
      </c>
      <c r="AA109" s="120">
        <v>25.9</v>
      </c>
      <c r="AB109" s="120">
        <v>15</v>
      </c>
      <c r="AC109" s="120">
        <v>14</v>
      </c>
      <c r="AD109" s="120">
        <v>12</v>
      </c>
      <c r="AE109" s="120">
        <v>16</v>
      </c>
      <c r="AF109" s="120">
        <v>0</v>
      </c>
      <c r="AG109" s="121">
        <v>75</v>
      </c>
      <c r="AH109" s="52">
        <f t="shared" si="9"/>
        <v>25.9</v>
      </c>
      <c r="AI109" s="53">
        <f t="shared" si="10"/>
        <v>-16.600000000000001</v>
      </c>
    </row>
    <row r="110" spans="1:88" x14ac:dyDescent="0.25">
      <c r="A110" s="110" t="s">
        <v>118</v>
      </c>
      <c r="B110" s="122">
        <v>-2.1</v>
      </c>
      <c r="C110" s="122">
        <v>-12.5</v>
      </c>
      <c r="D110" s="122">
        <v>-14</v>
      </c>
      <c r="E110" s="122">
        <v>-5.7</v>
      </c>
      <c r="F110" s="122">
        <v>-14.6</v>
      </c>
      <c r="G110" s="122">
        <v>-1.9</v>
      </c>
      <c r="H110" s="122">
        <v>3</v>
      </c>
      <c r="I110" s="122">
        <v>6.9</v>
      </c>
      <c r="J110" s="122">
        <v>20</v>
      </c>
      <c r="K110" s="122">
        <v>24.8</v>
      </c>
      <c r="L110" s="122">
        <v>28.1</v>
      </c>
      <c r="M110" s="122">
        <v>18.399999999999999</v>
      </c>
      <c r="N110" s="122">
        <v>-3.7</v>
      </c>
      <c r="O110" s="122">
        <v>-2.6</v>
      </c>
      <c r="P110" s="122">
        <v>14.5</v>
      </c>
      <c r="Q110" s="122">
        <v>30.1</v>
      </c>
      <c r="R110" s="122">
        <v>24.6</v>
      </c>
      <c r="S110" s="122">
        <v>22.7</v>
      </c>
      <c r="T110" s="122">
        <v>26.3</v>
      </c>
      <c r="U110" s="122">
        <v>20</v>
      </c>
      <c r="V110" s="122">
        <v>5.8</v>
      </c>
      <c r="W110" s="122">
        <v>0.8</v>
      </c>
      <c r="X110" s="122">
        <v>6.2</v>
      </c>
      <c r="Y110" s="122">
        <v>16.399999999999999</v>
      </c>
      <c r="Z110" s="122">
        <v>16.600000000000001</v>
      </c>
      <c r="AA110" s="122">
        <v>31.9</v>
      </c>
      <c r="AB110" s="122">
        <v>78.7</v>
      </c>
      <c r="AC110" s="122">
        <v>11</v>
      </c>
      <c r="AD110" s="122">
        <v>9</v>
      </c>
      <c r="AE110" s="122">
        <v>9</v>
      </c>
      <c r="AF110" s="122">
        <v>-3</v>
      </c>
      <c r="AG110" s="121">
        <v>240</v>
      </c>
      <c r="AH110" s="52">
        <f t="shared" si="9"/>
        <v>78.7</v>
      </c>
      <c r="AI110" s="53">
        <f t="shared" si="10"/>
        <v>-14.6</v>
      </c>
    </row>
    <row r="111" spans="1:88" x14ac:dyDescent="0.25">
      <c r="A111" s="110" t="s">
        <v>119</v>
      </c>
      <c r="B111" s="122">
        <v>-60</v>
      </c>
      <c r="C111" s="122">
        <v>-55</v>
      </c>
      <c r="D111" s="122">
        <v>-50</v>
      </c>
      <c r="E111" s="122">
        <v>-84</v>
      </c>
      <c r="F111" s="122">
        <v>-61.2</v>
      </c>
      <c r="G111" s="122">
        <v>-61.8</v>
      </c>
      <c r="H111" s="122">
        <v>-47</v>
      </c>
      <c r="I111" s="122">
        <v>-24.2</v>
      </c>
      <c r="J111" s="122">
        <v>-21</v>
      </c>
      <c r="K111" s="122">
        <v>-8.4</v>
      </c>
      <c r="L111" s="122">
        <v>-6.9</v>
      </c>
      <c r="M111" s="122">
        <v>14.9</v>
      </c>
      <c r="N111" s="122">
        <v>29</v>
      </c>
      <c r="O111" s="122">
        <v>28</v>
      </c>
      <c r="P111" s="122">
        <v>-3</v>
      </c>
      <c r="Q111" s="122">
        <v>-22</v>
      </c>
      <c r="R111" s="122">
        <f>-4.8-9.8</f>
        <v>-14.600000000000001</v>
      </c>
      <c r="S111" s="122">
        <v>-61</v>
      </c>
      <c r="T111" s="122">
        <v>-54</v>
      </c>
      <c r="U111" s="122">
        <v>-44</v>
      </c>
      <c r="V111" s="122">
        <v>-28.6</v>
      </c>
      <c r="W111" s="122">
        <v>20.7</v>
      </c>
      <c r="X111" s="122">
        <v>24.7</v>
      </c>
      <c r="Y111" s="122">
        <v>-12</v>
      </c>
      <c r="Z111" s="122">
        <v>2</v>
      </c>
      <c r="AA111" s="122">
        <v>-9.1</v>
      </c>
      <c r="AB111" s="122">
        <f>-26+6.5</f>
        <v>-19.5</v>
      </c>
      <c r="AC111" s="122">
        <v>21</v>
      </c>
      <c r="AD111" s="122">
        <v>-7</v>
      </c>
      <c r="AE111" s="122">
        <v>-40</v>
      </c>
      <c r="AF111" s="122">
        <v>-45</v>
      </c>
      <c r="AG111" s="121">
        <v>240</v>
      </c>
      <c r="AH111" s="52">
        <f t="shared" si="9"/>
        <v>29</v>
      </c>
      <c r="AI111" s="53">
        <f t="shared" si="10"/>
        <v>-84</v>
      </c>
    </row>
    <row r="112" spans="1:88" x14ac:dyDescent="0.25">
      <c r="A112" s="110" t="s">
        <v>120</v>
      </c>
      <c r="B112" s="122">
        <v>5.9</v>
      </c>
      <c r="C112" s="122">
        <v>18</v>
      </c>
      <c r="D112" s="122">
        <v>3.9</v>
      </c>
      <c r="E112" s="122">
        <v>6.5</v>
      </c>
      <c r="F112" s="122">
        <v>8.1999999999999993</v>
      </c>
      <c r="G112" s="122">
        <v>7.3</v>
      </c>
      <c r="H112" s="122">
        <v>6.3</v>
      </c>
      <c r="I112" s="122">
        <v>10.43</v>
      </c>
      <c r="J112" s="122">
        <v>10.3</v>
      </c>
      <c r="K112" s="122">
        <v>14.9</v>
      </c>
      <c r="L112" s="122">
        <v>6.7</v>
      </c>
      <c r="M112" s="122">
        <v>10.7</v>
      </c>
      <c r="N112" s="122">
        <v>20</v>
      </c>
      <c r="O112" s="122">
        <v>23</v>
      </c>
      <c r="P112" s="122">
        <v>21</v>
      </c>
      <c r="Q112" s="122">
        <v>23.1</v>
      </c>
      <c r="R112" s="122">
        <v>20.399999999999999</v>
      </c>
      <c r="S112" s="122">
        <v>31.5</v>
      </c>
      <c r="T112" s="122">
        <v>37</v>
      </c>
      <c r="U112" s="122">
        <v>40.9</v>
      </c>
      <c r="V112" s="122">
        <v>40.4</v>
      </c>
      <c r="W112" s="122">
        <v>43.7</v>
      </c>
      <c r="X112" s="122">
        <v>32.799999999999997</v>
      </c>
      <c r="Y112" s="122">
        <v>46.7</v>
      </c>
      <c r="Z112" s="122">
        <v>49.2</v>
      </c>
      <c r="AA112" s="122">
        <v>48.1</v>
      </c>
      <c r="AB112" s="122">
        <v>45.7</v>
      </c>
      <c r="AC112" s="122">
        <v>46</v>
      </c>
      <c r="AD112" s="122">
        <v>32</v>
      </c>
      <c r="AE112" s="122">
        <v>35</v>
      </c>
      <c r="AF112" s="122">
        <v>30</v>
      </c>
      <c r="AG112" s="121">
        <v>60</v>
      </c>
      <c r="AH112" s="52">
        <f t="shared" si="9"/>
        <v>49.2</v>
      </c>
      <c r="AI112" s="53">
        <f t="shared" si="10"/>
        <v>3.9</v>
      </c>
    </row>
    <row r="113" spans="1:37" x14ac:dyDescent="0.25">
      <c r="A113" s="123" t="s">
        <v>121</v>
      </c>
      <c r="B113" s="124">
        <v>93.2</v>
      </c>
      <c r="C113" s="124">
        <v>85</v>
      </c>
      <c r="D113" s="124">
        <v>88.4</v>
      </c>
      <c r="E113" s="124">
        <v>83</v>
      </c>
      <c r="F113" s="124">
        <v>86</v>
      </c>
      <c r="G113" s="124">
        <v>93.7</v>
      </c>
      <c r="H113" s="124">
        <v>106</v>
      </c>
      <c r="I113" s="124">
        <v>113.6</v>
      </c>
      <c r="J113" s="124">
        <v>116</v>
      </c>
      <c r="K113" s="124">
        <v>109.7</v>
      </c>
      <c r="L113" s="124">
        <v>112</v>
      </c>
      <c r="M113" s="124">
        <v>119</v>
      </c>
      <c r="N113" s="124">
        <v>117</v>
      </c>
      <c r="O113" s="124">
        <v>113</v>
      </c>
      <c r="P113" s="124">
        <v>108</v>
      </c>
      <c r="Q113" s="124">
        <v>103</v>
      </c>
      <c r="R113" s="124">
        <v>110.2</v>
      </c>
      <c r="S113" s="124">
        <v>103.9</v>
      </c>
      <c r="T113" s="124">
        <v>98.8</v>
      </c>
      <c r="U113" s="124">
        <v>108.3</v>
      </c>
      <c r="V113" s="124">
        <v>106.9</v>
      </c>
      <c r="W113" s="124">
        <v>109.4</v>
      </c>
      <c r="X113" s="124">
        <v>114.3</v>
      </c>
      <c r="Y113" s="124">
        <v>98.5</v>
      </c>
      <c r="Z113" s="124">
        <v>98.5</v>
      </c>
      <c r="AA113" s="124">
        <v>112</v>
      </c>
      <c r="AB113" s="124">
        <v>101</v>
      </c>
      <c r="AC113" s="124">
        <v>103</v>
      </c>
      <c r="AD113" s="124">
        <v>105</v>
      </c>
      <c r="AE113" s="124">
        <v>80</v>
      </c>
      <c r="AF113" s="124">
        <v>80</v>
      </c>
      <c r="AG113" s="125">
        <v>120</v>
      </c>
      <c r="AH113" s="52">
        <f t="shared" si="9"/>
        <v>119</v>
      </c>
      <c r="AI113" s="53">
        <f t="shared" si="10"/>
        <v>80</v>
      </c>
    </row>
    <row r="114" spans="1:37" x14ac:dyDescent="0.25">
      <c r="A114" s="123" t="s">
        <v>122</v>
      </c>
      <c r="B114" s="124">
        <v>103.5</v>
      </c>
      <c r="C114" s="124">
        <v>99</v>
      </c>
      <c r="D114" s="124">
        <v>106</v>
      </c>
      <c r="E114" s="124">
        <v>100.9</v>
      </c>
      <c r="F114" s="124">
        <v>102.3</v>
      </c>
      <c r="G114" s="124">
        <v>101.2</v>
      </c>
      <c r="H114" s="124">
        <v>85.5</v>
      </c>
      <c r="I114" s="124">
        <v>101.5</v>
      </c>
      <c r="J114" s="124">
        <v>107</v>
      </c>
      <c r="K114" s="124">
        <v>92.2</v>
      </c>
      <c r="L114" s="124">
        <v>95</v>
      </c>
      <c r="M114" s="124">
        <v>98</v>
      </c>
      <c r="N114" s="124">
        <v>82</v>
      </c>
      <c r="O114" s="124">
        <v>82</v>
      </c>
      <c r="P114" s="124">
        <v>93</v>
      </c>
      <c r="Q114" s="124">
        <v>104</v>
      </c>
      <c r="R114" s="124">
        <v>114.6</v>
      </c>
      <c r="S114" s="124">
        <v>106.2</v>
      </c>
      <c r="T114" s="124">
        <v>103.6</v>
      </c>
      <c r="U114" s="124">
        <v>104.3</v>
      </c>
      <c r="V114" s="124">
        <v>95.2</v>
      </c>
      <c r="W114" s="124">
        <v>91.3</v>
      </c>
      <c r="X114" s="124">
        <v>90</v>
      </c>
      <c r="Y114" s="124">
        <v>69.099999999999994</v>
      </c>
      <c r="Z114" s="124">
        <v>69.099999999999994</v>
      </c>
      <c r="AA114" s="124">
        <v>75.7</v>
      </c>
      <c r="AB114" s="124">
        <v>78.099999999999994</v>
      </c>
      <c r="AC114" s="124">
        <v>83</v>
      </c>
      <c r="AD114" s="124">
        <v>95</v>
      </c>
      <c r="AE114" s="124">
        <v>95</v>
      </c>
      <c r="AF114" s="124">
        <v>97</v>
      </c>
      <c r="AG114" s="125"/>
      <c r="AH114" s="52">
        <f t="shared" si="9"/>
        <v>114.6</v>
      </c>
      <c r="AI114" s="53">
        <f t="shared" si="10"/>
        <v>69.099999999999994</v>
      </c>
    </row>
    <row r="115" spans="1:37" x14ac:dyDescent="0.25">
      <c r="A115" s="123" t="s">
        <v>123</v>
      </c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>
        <v>29</v>
      </c>
      <c r="R115" s="124">
        <v>38</v>
      </c>
      <c r="S115" s="124">
        <v>42.8</v>
      </c>
      <c r="T115" s="124"/>
      <c r="U115" s="124">
        <v>36.9</v>
      </c>
      <c r="V115" s="124">
        <v>41</v>
      </c>
      <c r="W115" s="124">
        <v>37</v>
      </c>
      <c r="X115" s="124">
        <v>37.4</v>
      </c>
      <c r="Y115" s="124">
        <v>22.7</v>
      </c>
      <c r="Z115" s="124">
        <v>22.7</v>
      </c>
      <c r="AA115" s="124">
        <v>23.5</v>
      </c>
      <c r="AB115" s="124">
        <v>35.200000000000003</v>
      </c>
      <c r="AC115" s="124">
        <v>52</v>
      </c>
      <c r="AD115" s="124">
        <v>60.5</v>
      </c>
      <c r="AE115" s="124">
        <v>65</v>
      </c>
      <c r="AF115" s="124">
        <v>90</v>
      </c>
      <c r="AG115" s="126"/>
      <c r="AH115" s="52">
        <f t="shared" si="9"/>
        <v>90</v>
      </c>
      <c r="AI115" s="53">
        <f t="shared" si="10"/>
        <v>22.7</v>
      </c>
    </row>
    <row r="116" spans="1:37" x14ac:dyDescent="0.25">
      <c r="A116" s="127" t="s">
        <v>124</v>
      </c>
      <c r="B116" s="113">
        <v>-19.100000000000001</v>
      </c>
      <c r="C116" s="113">
        <v>-12.1</v>
      </c>
      <c r="D116" s="113">
        <v>-2.1</v>
      </c>
      <c r="E116" s="113">
        <v>3.7</v>
      </c>
      <c r="F116" s="113">
        <v>3.6</v>
      </c>
      <c r="G116" s="113">
        <v>7.1</v>
      </c>
      <c r="H116" s="113">
        <v>1.2</v>
      </c>
      <c r="I116" s="113">
        <v>-7.6</v>
      </c>
      <c r="J116" s="113">
        <v>-13.5</v>
      </c>
      <c r="K116" s="113">
        <v>-8.9</v>
      </c>
      <c r="L116" s="113">
        <v>-25</v>
      </c>
      <c r="M116" s="113">
        <v>-26.6</v>
      </c>
      <c r="N116" s="113">
        <v>-40</v>
      </c>
      <c r="O116" s="113">
        <v>-18</v>
      </c>
      <c r="P116" s="113">
        <v>-22.1</v>
      </c>
      <c r="Q116" s="113">
        <v>-30</v>
      </c>
      <c r="R116" s="113">
        <v>-28</v>
      </c>
      <c r="S116" s="113">
        <v>-34</v>
      </c>
      <c r="T116" s="113">
        <v>-31.6</v>
      </c>
      <c r="U116" s="113">
        <v>-33.700000000000003</v>
      </c>
      <c r="V116" s="113">
        <v>-38.700000000000003</v>
      </c>
      <c r="W116" s="113">
        <v>37.9</v>
      </c>
      <c r="X116" s="113">
        <v>36.700000000000003</v>
      </c>
      <c r="Y116" s="113">
        <v>-40.1</v>
      </c>
      <c r="Z116" s="113">
        <v>-40.1</v>
      </c>
      <c r="AA116" s="113">
        <v>-49.7</v>
      </c>
      <c r="AB116" s="113">
        <v>-44</v>
      </c>
      <c r="AC116" s="113">
        <v>-44</v>
      </c>
      <c r="AD116" s="113">
        <v>-42</v>
      </c>
      <c r="AE116" s="113">
        <v>-38</v>
      </c>
      <c r="AF116" s="113">
        <v>-30</v>
      </c>
      <c r="AG116" s="126"/>
      <c r="AH116" s="52">
        <f t="shared" si="9"/>
        <v>37.9</v>
      </c>
      <c r="AI116" s="53">
        <f t="shared" si="10"/>
        <v>-49.7</v>
      </c>
    </row>
    <row r="117" spans="1:37" ht="15.75" thickBot="1" x14ac:dyDescent="0.3">
      <c r="A117" s="127" t="s">
        <v>125</v>
      </c>
      <c r="B117" s="113">
        <v>105.1</v>
      </c>
      <c r="C117" s="113">
        <v>104</v>
      </c>
      <c r="D117" s="113">
        <v>94</v>
      </c>
      <c r="E117" s="113">
        <v>99.8</v>
      </c>
      <c r="F117" s="113">
        <v>100</v>
      </c>
      <c r="G117" s="113">
        <v>86</v>
      </c>
      <c r="H117" s="113">
        <v>84.5</v>
      </c>
      <c r="I117" s="113">
        <v>92.6</v>
      </c>
      <c r="J117" s="113">
        <v>101.3</v>
      </c>
      <c r="K117" s="113">
        <v>102.9</v>
      </c>
      <c r="L117" s="113">
        <v>106</v>
      </c>
      <c r="M117" s="113">
        <v>100.7</v>
      </c>
      <c r="N117" s="113">
        <v>104</v>
      </c>
      <c r="O117" s="113">
        <v>93</v>
      </c>
      <c r="P117" s="113">
        <v>110</v>
      </c>
      <c r="Q117" s="113">
        <v>111</v>
      </c>
      <c r="R117" s="113">
        <v>113.2</v>
      </c>
      <c r="S117" s="113">
        <v>100.5</v>
      </c>
      <c r="T117" s="113">
        <v>94</v>
      </c>
      <c r="U117" s="113">
        <v>83.6</v>
      </c>
      <c r="V117" s="113">
        <v>94.3</v>
      </c>
      <c r="W117" s="113">
        <v>106.7</v>
      </c>
      <c r="X117" s="113">
        <v>106.8</v>
      </c>
      <c r="Y117" s="113">
        <v>114.9</v>
      </c>
      <c r="Z117" s="113">
        <v>114.9</v>
      </c>
      <c r="AA117" s="113">
        <v>111.6</v>
      </c>
      <c r="AB117" s="113">
        <v>112.1</v>
      </c>
      <c r="AC117" s="113">
        <v>112</v>
      </c>
      <c r="AD117" s="113">
        <v>117</v>
      </c>
      <c r="AE117" s="113">
        <v>114</v>
      </c>
      <c r="AF117" s="113">
        <v>115</v>
      </c>
      <c r="AG117" s="126"/>
      <c r="AH117" s="52">
        <f t="shared" si="9"/>
        <v>117</v>
      </c>
      <c r="AI117" s="53">
        <f t="shared" si="10"/>
        <v>83.6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17">SUM(B119:B223)</f>
        <v>0</v>
      </c>
      <c r="C224" s="144">
        <f t="shared" si="17"/>
        <v>0</v>
      </c>
      <c r="D224" s="144">
        <f t="shared" si="17"/>
        <v>0</v>
      </c>
      <c r="E224" s="144">
        <f t="shared" si="17"/>
        <v>0</v>
      </c>
      <c r="F224" s="144">
        <f t="shared" si="17"/>
        <v>0</v>
      </c>
      <c r="G224" s="144">
        <f t="shared" si="17"/>
        <v>0</v>
      </c>
      <c r="H224" s="144">
        <f t="shared" si="17"/>
        <v>0</v>
      </c>
      <c r="I224" s="144">
        <f t="shared" si="17"/>
        <v>0</v>
      </c>
      <c r="J224" s="144">
        <f t="shared" si="17"/>
        <v>0</v>
      </c>
      <c r="K224" s="144">
        <f t="shared" si="17"/>
        <v>0</v>
      </c>
      <c r="L224" s="144">
        <f t="shared" si="17"/>
        <v>0</v>
      </c>
      <c r="M224" s="144">
        <f t="shared" si="17"/>
        <v>0</v>
      </c>
      <c r="N224" s="144">
        <f t="shared" si="17"/>
        <v>0</v>
      </c>
      <c r="O224" s="144">
        <f t="shared" si="17"/>
        <v>0</v>
      </c>
      <c r="P224" s="144">
        <f t="shared" si="17"/>
        <v>0</v>
      </c>
      <c r="Q224" s="144">
        <f t="shared" si="17"/>
        <v>0</v>
      </c>
      <c r="R224" s="144">
        <f t="shared" si="17"/>
        <v>0</v>
      </c>
      <c r="S224" s="144">
        <f t="shared" si="17"/>
        <v>0</v>
      </c>
      <c r="T224" s="144">
        <f t="shared" si="17"/>
        <v>0</v>
      </c>
      <c r="U224" s="144">
        <f t="shared" si="17"/>
        <v>0</v>
      </c>
      <c r="V224" s="144">
        <f t="shared" si="17"/>
        <v>0</v>
      </c>
      <c r="W224" s="144">
        <f t="shared" si="17"/>
        <v>0</v>
      </c>
      <c r="X224" s="144">
        <f t="shared" si="17"/>
        <v>0</v>
      </c>
      <c r="Y224" s="144">
        <f t="shared" si="17"/>
        <v>0</v>
      </c>
      <c r="Z224" s="144">
        <f t="shared" si="17"/>
        <v>0</v>
      </c>
      <c r="AA224" s="144">
        <f t="shared" si="17"/>
        <v>0</v>
      </c>
      <c r="AB224" s="144">
        <f t="shared" si="17"/>
        <v>0</v>
      </c>
      <c r="AC224" s="144">
        <f t="shared" si="17"/>
        <v>0</v>
      </c>
      <c r="AD224" s="144">
        <f t="shared" si="17"/>
        <v>0</v>
      </c>
      <c r="AE224" s="144">
        <f t="shared" si="17"/>
        <v>0</v>
      </c>
      <c r="AF224" s="145">
        <f t="shared" si="17"/>
        <v>0</v>
      </c>
      <c r="AG224" s="146">
        <f t="shared" si="17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18">AF226</f>
        <v>0</v>
      </c>
      <c r="C226" s="149">
        <v>0.3</v>
      </c>
      <c r="D226" s="149">
        <f t="shared" ref="D226:P231" si="19">C226</f>
        <v>0.3</v>
      </c>
      <c r="E226" s="149">
        <f t="shared" si="19"/>
        <v>0.3</v>
      </c>
      <c r="F226" s="149">
        <f t="shared" si="19"/>
        <v>0.3</v>
      </c>
      <c r="G226" s="149">
        <f t="shared" si="19"/>
        <v>0.3</v>
      </c>
      <c r="H226" s="149">
        <f t="shared" si="19"/>
        <v>0.3</v>
      </c>
      <c r="I226" s="149">
        <f t="shared" si="19"/>
        <v>0.3</v>
      </c>
      <c r="J226" s="149">
        <f t="shared" si="19"/>
        <v>0.3</v>
      </c>
      <c r="K226" s="149">
        <f t="shared" si="19"/>
        <v>0.3</v>
      </c>
      <c r="L226" s="149">
        <f t="shared" si="19"/>
        <v>0.3</v>
      </c>
      <c r="M226" s="149">
        <f t="shared" si="19"/>
        <v>0.3</v>
      </c>
      <c r="N226" s="149">
        <f t="shared" si="19"/>
        <v>0.3</v>
      </c>
      <c r="O226" s="149">
        <f t="shared" si="19"/>
        <v>0.3</v>
      </c>
      <c r="P226" s="149">
        <f t="shared" si="19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18"/>
        <v>0</v>
      </c>
      <c r="C227" s="136">
        <v>0.4</v>
      </c>
      <c r="D227" s="136">
        <f t="shared" si="19"/>
        <v>0.4</v>
      </c>
      <c r="E227" s="136">
        <f t="shared" si="19"/>
        <v>0.4</v>
      </c>
      <c r="F227" s="136">
        <f t="shared" si="19"/>
        <v>0.4</v>
      </c>
      <c r="G227" s="136">
        <f t="shared" si="19"/>
        <v>0.4</v>
      </c>
      <c r="H227" s="136">
        <f t="shared" si="19"/>
        <v>0.4</v>
      </c>
      <c r="I227" s="136">
        <f t="shared" si="19"/>
        <v>0.4</v>
      </c>
      <c r="J227" s="136">
        <f t="shared" si="19"/>
        <v>0.4</v>
      </c>
      <c r="K227" s="136">
        <f t="shared" si="19"/>
        <v>0.4</v>
      </c>
      <c r="L227" s="136">
        <f t="shared" si="19"/>
        <v>0.4</v>
      </c>
      <c r="M227" s="136">
        <f t="shared" si="19"/>
        <v>0.4</v>
      </c>
      <c r="N227" s="136">
        <f t="shared" si="19"/>
        <v>0.4</v>
      </c>
      <c r="O227" s="136">
        <f t="shared" si="19"/>
        <v>0.4</v>
      </c>
      <c r="P227" s="136">
        <f t="shared" si="19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18"/>
        <v>0</v>
      </c>
      <c r="C228" s="136">
        <v>1.5</v>
      </c>
      <c r="D228" s="136">
        <f t="shared" si="19"/>
        <v>1.5</v>
      </c>
      <c r="E228" s="136">
        <f t="shared" si="19"/>
        <v>1.5</v>
      </c>
      <c r="F228" s="136">
        <f t="shared" si="19"/>
        <v>1.5</v>
      </c>
      <c r="G228" s="136">
        <f t="shared" si="19"/>
        <v>1.5</v>
      </c>
      <c r="H228" s="136">
        <f t="shared" si="19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19"/>
        <v>1.5</v>
      </c>
      <c r="K228" s="136">
        <f t="shared" ca="1" si="19"/>
        <v>1.5</v>
      </c>
      <c r="L228" s="136">
        <f t="shared" ca="1" si="19"/>
        <v>1.5</v>
      </c>
      <c r="M228" s="136">
        <f t="shared" ca="1" si="19"/>
        <v>1.5</v>
      </c>
      <c r="N228" s="136">
        <f t="shared" ca="1" si="19"/>
        <v>1.5</v>
      </c>
      <c r="O228" s="136">
        <f t="shared" ca="1" si="19"/>
        <v>1.5</v>
      </c>
      <c r="P228" s="136">
        <f t="shared" ca="1" si="19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18"/>
        <v>0</v>
      </c>
      <c r="C229" s="136">
        <v>0.3</v>
      </c>
      <c r="D229" s="136">
        <f t="shared" si="19"/>
        <v>0.3</v>
      </c>
      <c r="E229" s="136">
        <f t="shared" si="19"/>
        <v>0.3</v>
      </c>
      <c r="F229" s="136">
        <f t="shared" si="19"/>
        <v>0.3</v>
      </c>
      <c r="G229" s="136">
        <f t="shared" si="19"/>
        <v>0.3</v>
      </c>
      <c r="H229" s="136">
        <f t="shared" si="19"/>
        <v>0.3</v>
      </c>
      <c r="I229" s="136">
        <f t="shared" si="19"/>
        <v>0.3</v>
      </c>
      <c r="J229" s="136">
        <f t="shared" si="19"/>
        <v>0.3</v>
      </c>
      <c r="K229" s="136">
        <f t="shared" si="19"/>
        <v>0.3</v>
      </c>
      <c r="L229" s="136">
        <f t="shared" si="19"/>
        <v>0.3</v>
      </c>
      <c r="M229" s="136">
        <f t="shared" si="19"/>
        <v>0.3</v>
      </c>
      <c r="N229" s="136">
        <f t="shared" si="19"/>
        <v>0.3</v>
      </c>
      <c r="O229" s="136">
        <f t="shared" si="19"/>
        <v>0.3</v>
      </c>
      <c r="P229" s="136">
        <f t="shared" si="19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18"/>
        <v>0</v>
      </c>
      <c r="C230" s="136">
        <v>0.4</v>
      </c>
      <c r="D230" s="136">
        <f t="shared" si="19"/>
        <v>0.4</v>
      </c>
      <c r="E230" s="136">
        <f t="shared" si="19"/>
        <v>0.4</v>
      </c>
      <c r="F230" s="136">
        <f t="shared" si="19"/>
        <v>0.4</v>
      </c>
      <c r="G230" s="136">
        <f t="shared" si="19"/>
        <v>0.4</v>
      </c>
      <c r="H230" s="136">
        <f t="shared" si="19"/>
        <v>0.4</v>
      </c>
      <c r="I230" s="136">
        <f t="shared" si="19"/>
        <v>0.4</v>
      </c>
      <c r="J230" s="136">
        <f t="shared" si="19"/>
        <v>0.4</v>
      </c>
      <c r="K230" s="136">
        <f t="shared" si="19"/>
        <v>0.4</v>
      </c>
      <c r="L230" s="136">
        <f t="shared" si="19"/>
        <v>0.4</v>
      </c>
      <c r="M230" s="136">
        <f t="shared" si="19"/>
        <v>0.4</v>
      </c>
      <c r="N230" s="136">
        <f t="shared" si="19"/>
        <v>0.4</v>
      </c>
      <c r="O230" s="136">
        <f t="shared" si="19"/>
        <v>0.4</v>
      </c>
      <c r="P230" s="136">
        <f t="shared" si="19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18"/>
        <v>0</v>
      </c>
      <c r="C231" s="140">
        <v>0.64</v>
      </c>
      <c r="D231" s="140">
        <f t="shared" si="19"/>
        <v>0.64</v>
      </c>
      <c r="E231" s="140">
        <f t="shared" si="19"/>
        <v>0.64</v>
      </c>
      <c r="F231" s="140">
        <f t="shared" si="19"/>
        <v>0.64</v>
      </c>
      <c r="G231" s="140">
        <f t="shared" si="19"/>
        <v>0.64</v>
      </c>
      <c r="H231" s="140">
        <f t="shared" si="19"/>
        <v>0.64</v>
      </c>
      <c r="I231" s="140">
        <f t="shared" si="19"/>
        <v>0.64</v>
      </c>
      <c r="J231" s="140">
        <f t="shared" si="19"/>
        <v>0.64</v>
      </c>
      <c r="K231" s="140">
        <f t="shared" si="19"/>
        <v>0.64</v>
      </c>
      <c r="L231" s="140">
        <f t="shared" si="19"/>
        <v>0.64</v>
      </c>
      <c r="M231" s="140">
        <f t="shared" si="19"/>
        <v>0.64</v>
      </c>
      <c r="N231" s="140">
        <f t="shared" si="19"/>
        <v>0.64</v>
      </c>
      <c r="O231" s="140">
        <f t="shared" si="19"/>
        <v>0.64</v>
      </c>
      <c r="P231" s="140">
        <f t="shared" si="19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20">SUM(B226:B231)</f>
        <v>0</v>
      </c>
      <c r="C232" s="144">
        <f t="shared" si="20"/>
        <v>3.54</v>
      </c>
      <c r="D232" s="144">
        <f t="shared" si="20"/>
        <v>3.54</v>
      </c>
      <c r="E232" s="144">
        <f t="shared" si="20"/>
        <v>3.54</v>
      </c>
      <c r="F232" s="144">
        <f t="shared" si="20"/>
        <v>3.54</v>
      </c>
      <c r="G232" s="144">
        <f t="shared" si="20"/>
        <v>3.54</v>
      </c>
      <c r="H232" s="144">
        <f t="shared" si="20"/>
        <v>3.54</v>
      </c>
      <c r="I232" s="144">
        <f t="shared" ca="1" si="20"/>
        <v>3.54</v>
      </c>
      <c r="J232" s="144">
        <f t="shared" ca="1" si="20"/>
        <v>3.54</v>
      </c>
      <c r="K232" s="144">
        <f t="shared" ca="1" si="20"/>
        <v>3.54</v>
      </c>
      <c r="L232" s="144">
        <f t="shared" ca="1" si="20"/>
        <v>3.54</v>
      </c>
      <c r="M232" s="144">
        <f t="shared" ca="1" si="20"/>
        <v>3.54</v>
      </c>
      <c r="N232" s="144">
        <f t="shared" ca="1" si="20"/>
        <v>3.54</v>
      </c>
      <c r="O232" s="144">
        <f t="shared" ca="1" si="20"/>
        <v>3.54</v>
      </c>
      <c r="P232" s="144">
        <f t="shared" ca="1" si="20"/>
        <v>3.54</v>
      </c>
      <c r="Q232" s="144">
        <f t="shared" si="20"/>
        <v>0</v>
      </c>
      <c r="R232" s="144">
        <f t="shared" si="20"/>
        <v>0</v>
      </c>
      <c r="S232" s="144">
        <f t="shared" si="20"/>
        <v>0</v>
      </c>
      <c r="T232" s="144">
        <f t="shared" si="20"/>
        <v>0</v>
      </c>
      <c r="U232" s="144">
        <f t="shared" si="20"/>
        <v>0</v>
      </c>
      <c r="V232" s="144">
        <f t="shared" si="20"/>
        <v>0</v>
      </c>
      <c r="W232" s="144">
        <f t="shared" si="20"/>
        <v>0</v>
      </c>
      <c r="X232" s="144">
        <f t="shared" si="20"/>
        <v>0</v>
      </c>
      <c r="Y232" s="144">
        <f t="shared" si="20"/>
        <v>0</v>
      </c>
      <c r="Z232" s="144">
        <f t="shared" si="20"/>
        <v>0</v>
      </c>
      <c r="AA232" s="144">
        <f t="shared" si="20"/>
        <v>0</v>
      </c>
      <c r="AB232" s="144">
        <f t="shared" si="20"/>
        <v>0</v>
      </c>
      <c r="AC232" s="144">
        <f t="shared" si="20"/>
        <v>0</v>
      </c>
      <c r="AD232" s="144">
        <f t="shared" si="20"/>
        <v>0</v>
      </c>
      <c r="AE232" s="144">
        <f t="shared" si="20"/>
        <v>0</v>
      </c>
      <c r="AF232" s="144">
        <f t="shared" si="20"/>
        <v>0</v>
      </c>
      <c r="AG232" s="154">
        <f t="shared" si="20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1581.6190000000001</v>
      </c>
      <c r="C241" s="170">
        <f>INDEX(G9:N9,1,MATCH(MAX(G89:N89),G89:N89,0))</f>
        <v>0.33333333333333331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26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2079/12/26)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2079/12/26)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21">B89</f>
        <v>1462.56</v>
      </c>
      <c r="U246" s="180">
        <f t="shared" si="21"/>
        <v>1368.96</v>
      </c>
      <c r="V246" s="180">
        <f t="shared" si="21"/>
        <v>1334.66</v>
      </c>
      <c r="W246" s="180">
        <f t="shared" si="21"/>
        <v>1378.1599999999999</v>
      </c>
      <c r="X246" s="180">
        <f t="shared" si="21"/>
        <v>1356.24</v>
      </c>
      <c r="Y246" s="180">
        <f t="shared" si="21"/>
        <v>1380.34</v>
      </c>
      <c r="Z246" s="180">
        <f t="shared" si="21"/>
        <v>1367.94</v>
      </c>
      <c r="AA246" s="180">
        <f t="shared" si="21"/>
        <v>1397.44</v>
      </c>
      <c r="AB246" s="180">
        <f t="shared" si="21"/>
        <v>1459.74</v>
      </c>
      <c r="AC246" s="180">
        <f t="shared" si="21"/>
        <v>1453.8400000000001</v>
      </c>
      <c r="AD246" s="180">
        <f t="shared" si="21"/>
        <v>1442.8400000000001</v>
      </c>
      <c r="AE246" s="180">
        <f t="shared" si="21"/>
        <v>1581.6190000000001</v>
      </c>
      <c r="AF246" s="180">
        <f t="shared" si="21"/>
        <v>1555.9389999999999</v>
      </c>
      <c r="AG246" s="180">
        <f t="shared" si="21"/>
        <v>1566.44</v>
      </c>
      <c r="AH246" s="180">
        <f t="shared" si="21"/>
        <v>1545.3400000000001</v>
      </c>
      <c r="AI246" s="180">
        <f t="shared" si="21"/>
        <v>1556.44</v>
      </c>
      <c r="AJ246" s="180">
        <f t="shared" si="21"/>
        <v>1590.04</v>
      </c>
      <c r="AK246" s="180">
        <f t="shared" si="21"/>
        <v>1611.04</v>
      </c>
      <c r="AL246" s="180">
        <f t="shared" si="21"/>
        <v>1468.44</v>
      </c>
      <c r="AM246" s="180">
        <f t="shared" si="21"/>
        <v>1473.7400000000002</v>
      </c>
      <c r="AN246" s="180">
        <f t="shared" si="21"/>
        <v>1481.04</v>
      </c>
      <c r="AO246" s="180">
        <f t="shared" si="21"/>
        <v>1433.14</v>
      </c>
      <c r="AP246" s="180">
        <f t="shared" si="21"/>
        <v>1422.44</v>
      </c>
      <c r="AQ246" s="180">
        <f t="shared" si="21"/>
        <v>1615.6400000000003</v>
      </c>
      <c r="AR246" s="180">
        <f t="shared" si="21"/>
        <v>1738.44</v>
      </c>
      <c r="AS246" s="180">
        <f t="shared" si="21"/>
        <v>1799.54</v>
      </c>
      <c r="AT246" s="180">
        <f t="shared" si="21"/>
        <v>1761.84</v>
      </c>
      <c r="AU246" s="180">
        <f t="shared" si="21"/>
        <v>1747.54</v>
      </c>
      <c r="AV246" s="180">
        <f t="shared" si="21"/>
        <v>1521.04</v>
      </c>
      <c r="AW246" s="180">
        <f t="shared" si="21"/>
        <v>1526.94</v>
      </c>
      <c r="AX246" s="180">
        <f t="shared" si="21"/>
        <v>1479.94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22">C231</f>
        <v>0.64</v>
      </c>
      <c r="C267" s="183">
        <f t="shared" si="22"/>
        <v>0.64</v>
      </c>
      <c r="D267" s="183">
        <f t="shared" si="22"/>
        <v>0.64</v>
      </c>
      <c r="E267" s="183">
        <f t="shared" si="22"/>
        <v>0.64</v>
      </c>
      <c r="F267" s="183">
        <f t="shared" si="22"/>
        <v>0.64</v>
      </c>
      <c r="G267" s="183">
        <f t="shared" si="22"/>
        <v>0.64</v>
      </c>
      <c r="H267" s="183">
        <f t="shared" si="22"/>
        <v>0.64</v>
      </c>
      <c r="I267" s="183">
        <f t="shared" si="22"/>
        <v>0.64</v>
      </c>
      <c r="J267" s="183">
        <f t="shared" si="22"/>
        <v>0.64</v>
      </c>
      <c r="K267" s="183">
        <f t="shared" si="22"/>
        <v>0.64</v>
      </c>
      <c r="L267" s="183">
        <f t="shared" si="22"/>
        <v>0.64</v>
      </c>
      <c r="M267" s="183">
        <f t="shared" si="22"/>
        <v>0.64</v>
      </c>
      <c r="N267" s="183">
        <f t="shared" si="22"/>
        <v>0.64</v>
      </c>
      <c r="O267" s="183">
        <f t="shared" si="22"/>
        <v>0.64</v>
      </c>
      <c r="P267" s="183">
        <f t="shared" si="22"/>
        <v>0</v>
      </c>
      <c r="Q267" s="183">
        <f t="shared" si="22"/>
        <v>0</v>
      </c>
      <c r="R267" s="183">
        <f t="shared" si="22"/>
        <v>0</v>
      </c>
      <c r="S267" s="183">
        <f t="shared" si="22"/>
        <v>0</v>
      </c>
      <c r="T267" s="183">
        <f t="shared" si="22"/>
        <v>0</v>
      </c>
      <c r="U267" s="183">
        <f t="shared" si="22"/>
        <v>0</v>
      </c>
      <c r="V267" s="183">
        <f t="shared" si="22"/>
        <v>0</v>
      </c>
      <c r="W267" s="183">
        <f t="shared" si="22"/>
        <v>0</v>
      </c>
      <c r="X267" s="183">
        <f t="shared" si="22"/>
        <v>0</v>
      </c>
      <c r="Y267" s="183">
        <f t="shared" si="22"/>
        <v>0</v>
      </c>
      <c r="Z267" s="183">
        <f t="shared" si="22"/>
        <v>0</v>
      </c>
      <c r="AA267" s="183">
        <f t="shared" si="22"/>
        <v>0</v>
      </c>
      <c r="AB267" s="183">
        <f t="shared" si="22"/>
        <v>0</v>
      </c>
      <c r="AC267" s="183">
        <f t="shared" si="22"/>
        <v>0</v>
      </c>
      <c r="AD267" s="183">
        <f t="shared" si="22"/>
        <v>0</v>
      </c>
      <c r="AE267" s="183">
        <f t="shared" si="22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23">IF(B235&lt;100,"",B235-520)</f>
        <v/>
      </c>
      <c r="C268" s="184" t="str">
        <f t="shared" si="23"/>
        <v/>
      </c>
      <c r="D268" s="184" t="str">
        <f t="shared" si="23"/>
        <v/>
      </c>
      <c r="E268" s="184" t="str">
        <f t="shared" si="23"/>
        <v/>
      </c>
      <c r="F268" s="184" t="str">
        <f t="shared" si="23"/>
        <v/>
      </c>
      <c r="G268" s="184" t="str">
        <f t="shared" si="23"/>
        <v/>
      </c>
      <c r="H268" s="184" t="str">
        <f t="shared" si="23"/>
        <v/>
      </c>
      <c r="I268" s="184" t="str">
        <f t="shared" si="23"/>
        <v/>
      </c>
      <c r="J268" s="184" t="str">
        <f t="shared" si="23"/>
        <v/>
      </c>
      <c r="K268" s="184" t="str">
        <f t="shared" si="23"/>
        <v/>
      </c>
      <c r="L268" s="184" t="str">
        <f t="shared" si="23"/>
        <v/>
      </c>
      <c r="M268" s="184" t="str">
        <f t="shared" si="23"/>
        <v/>
      </c>
      <c r="N268" s="184" t="str">
        <f t="shared" si="23"/>
        <v/>
      </c>
      <c r="O268" s="184" t="str">
        <f t="shared" si="23"/>
        <v/>
      </c>
      <c r="P268" s="184" t="str">
        <f t="shared" si="23"/>
        <v/>
      </c>
      <c r="Q268" s="184" t="str">
        <f t="shared" si="23"/>
        <v/>
      </c>
      <c r="R268" s="184" t="str">
        <f t="shared" si="23"/>
        <v/>
      </c>
      <c r="S268" s="184" t="str">
        <f t="shared" si="23"/>
        <v/>
      </c>
      <c r="T268" s="184" t="str">
        <f t="shared" si="23"/>
        <v/>
      </c>
      <c r="U268" s="184" t="str">
        <f t="shared" si="23"/>
        <v/>
      </c>
      <c r="V268" s="184" t="str">
        <f t="shared" si="23"/>
        <v/>
      </c>
      <c r="W268" s="184" t="str">
        <f t="shared" si="23"/>
        <v/>
      </c>
      <c r="X268" s="184" t="str">
        <f t="shared" si="23"/>
        <v/>
      </c>
      <c r="Y268" s="184" t="str">
        <f t="shared" si="23"/>
        <v/>
      </c>
      <c r="Z268" s="184" t="str">
        <f t="shared" si="23"/>
        <v/>
      </c>
      <c r="AA268" s="184" t="str">
        <f t="shared" si="23"/>
        <v/>
      </c>
      <c r="AB268" s="184" t="str">
        <f t="shared" si="23"/>
        <v/>
      </c>
      <c r="AC268" s="184" t="str">
        <f t="shared" si="23"/>
        <v/>
      </c>
      <c r="AD268" s="184" t="str">
        <f t="shared" si="23"/>
        <v/>
      </c>
      <c r="AE268" s="184" t="str">
        <f t="shared" si="23"/>
        <v/>
      </c>
      <c r="AF268" s="184" t="str">
        <f t="shared" si="23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24">IF(B236&lt;100,"",B236-620)</f>
        <v/>
      </c>
      <c r="C269" s="184" t="str">
        <f t="shared" si="24"/>
        <v/>
      </c>
      <c r="D269" s="184" t="str">
        <f t="shared" si="24"/>
        <v/>
      </c>
      <c r="E269" s="184" t="str">
        <f t="shared" si="24"/>
        <v/>
      </c>
      <c r="F269" s="184" t="str">
        <f t="shared" si="24"/>
        <v/>
      </c>
      <c r="G269" s="184" t="str">
        <f t="shared" si="24"/>
        <v/>
      </c>
      <c r="H269" s="184" t="str">
        <f t="shared" si="24"/>
        <v/>
      </c>
      <c r="I269" s="184" t="str">
        <f t="shared" si="24"/>
        <v/>
      </c>
      <c r="J269" s="184" t="str">
        <f t="shared" si="24"/>
        <v/>
      </c>
      <c r="K269" s="184" t="str">
        <f t="shared" si="24"/>
        <v/>
      </c>
      <c r="L269" s="184" t="str">
        <f t="shared" si="24"/>
        <v/>
      </c>
      <c r="M269" s="184" t="str">
        <f t="shared" si="24"/>
        <v/>
      </c>
      <c r="N269" s="184" t="str">
        <f t="shared" si="24"/>
        <v/>
      </c>
      <c r="O269" s="184" t="str">
        <f t="shared" si="24"/>
        <v/>
      </c>
      <c r="P269" s="184" t="str">
        <f t="shared" si="24"/>
        <v/>
      </c>
      <c r="Q269" s="184" t="str">
        <f t="shared" si="24"/>
        <v/>
      </c>
      <c r="R269" s="184" t="str">
        <f t="shared" si="24"/>
        <v/>
      </c>
      <c r="S269" s="184" t="str">
        <f t="shared" si="24"/>
        <v/>
      </c>
      <c r="T269" s="184" t="str">
        <f t="shared" si="24"/>
        <v/>
      </c>
      <c r="U269" s="184" t="str">
        <f t="shared" si="24"/>
        <v/>
      </c>
      <c r="V269" s="184" t="str">
        <f t="shared" si="24"/>
        <v/>
      </c>
      <c r="W269" s="184" t="str">
        <f t="shared" si="24"/>
        <v/>
      </c>
      <c r="X269" s="184" t="str">
        <f t="shared" si="24"/>
        <v/>
      </c>
      <c r="Y269" s="184" t="str">
        <f t="shared" si="24"/>
        <v/>
      </c>
      <c r="Z269" s="184" t="str">
        <f t="shared" si="24"/>
        <v/>
      </c>
      <c r="AA269" s="184" t="str">
        <f t="shared" si="24"/>
        <v/>
      </c>
      <c r="AB269" s="184" t="str">
        <f t="shared" si="24"/>
        <v/>
      </c>
      <c r="AC269" s="184" t="str">
        <f t="shared" si="24"/>
        <v/>
      </c>
      <c r="AD269" s="184" t="str">
        <f t="shared" si="24"/>
        <v/>
      </c>
      <c r="AE269" s="184" t="str">
        <f t="shared" si="24"/>
        <v/>
      </c>
      <c r="AF269" s="184" t="str">
        <f t="shared" si="24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25">IF(B237&lt;100,"",B237-330)</f>
        <v/>
      </c>
      <c r="C270" s="184" t="str">
        <f t="shared" si="25"/>
        <v/>
      </c>
      <c r="D270" s="184" t="str">
        <f t="shared" si="25"/>
        <v/>
      </c>
      <c r="E270" s="184" t="str">
        <f t="shared" si="25"/>
        <v/>
      </c>
      <c r="F270" s="184" t="str">
        <f t="shared" si="25"/>
        <v/>
      </c>
      <c r="G270" s="184" t="str">
        <f t="shared" si="25"/>
        <v/>
      </c>
      <c r="H270" s="184" t="str">
        <f t="shared" si="25"/>
        <v/>
      </c>
      <c r="I270" s="184" t="str">
        <f t="shared" si="25"/>
        <v/>
      </c>
      <c r="J270" s="184" t="str">
        <f t="shared" si="25"/>
        <v/>
      </c>
      <c r="K270" s="184" t="str">
        <f t="shared" si="25"/>
        <v/>
      </c>
      <c r="L270" s="184" t="str">
        <f t="shared" si="25"/>
        <v/>
      </c>
      <c r="M270" s="184" t="str">
        <f t="shared" si="25"/>
        <v/>
      </c>
      <c r="N270" s="184" t="str">
        <f t="shared" si="25"/>
        <v/>
      </c>
      <c r="O270" s="184" t="str">
        <f t="shared" si="25"/>
        <v/>
      </c>
      <c r="P270" s="184" t="str">
        <f t="shared" si="25"/>
        <v/>
      </c>
      <c r="Q270" s="184" t="str">
        <f t="shared" si="25"/>
        <v/>
      </c>
      <c r="R270" s="184" t="str">
        <f t="shared" si="25"/>
        <v/>
      </c>
      <c r="S270" s="184" t="str">
        <f t="shared" si="25"/>
        <v/>
      </c>
      <c r="T270" s="184" t="str">
        <f t="shared" si="25"/>
        <v/>
      </c>
      <c r="U270" s="184" t="str">
        <f t="shared" si="25"/>
        <v/>
      </c>
      <c r="V270" s="184" t="str">
        <f t="shared" si="25"/>
        <v/>
      </c>
      <c r="W270" s="184" t="str">
        <f t="shared" si="25"/>
        <v/>
      </c>
      <c r="X270" s="184" t="str">
        <f t="shared" si="25"/>
        <v/>
      </c>
      <c r="Y270" s="184" t="str">
        <f t="shared" si="25"/>
        <v/>
      </c>
      <c r="Z270" s="184" t="str">
        <f t="shared" si="25"/>
        <v/>
      </c>
      <c r="AA270" s="184" t="str">
        <f t="shared" si="25"/>
        <v/>
      </c>
      <c r="AB270" s="184" t="str">
        <f t="shared" si="25"/>
        <v/>
      </c>
      <c r="AC270" s="184" t="str">
        <f t="shared" si="25"/>
        <v/>
      </c>
      <c r="AD270" s="184" t="str">
        <f t="shared" si="25"/>
        <v/>
      </c>
      <c r="AE270" s="184" t="str">
        <f t="shared" si="25"/>
        <v/>
      </c>
      <c r="AF270" s="184" t="str">
        <f t="shared" si="25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26">IF(B238&lt;100,"",B238-1500)</f>
        <v/>
      </c>
      <c r="C271" s="184" t="str">
        <f t="shared" si="26"/>
        <v/>
      </c>
      <c r="D271" s="184" t="str">
        <f t="shared" si="26"/>
        <v/>
      </c>
      <c r="E271" s="184" t="str">
        <f t="shared" si="26"/>
        <v/>
      </c>
      <c r="F271" s="184" t="str">
        <f t="shared" si="26"/>
        <v/>
      </c>
      <c r="G271" s="184" t="str">
        <f t="shared" si="26"/>
        <v/>
      </c>
      <c r="H271" s="184" t="str">
        <f t="shared" si="26"/>
        <v/>
      </c>
      <c r="I271" s="184" t="str">
        <f t="shared" si="26"/>
        <v/>
      </c>
      <c r="J271" s="184" t="str">
        <f t="shared" si="26"/>
        <v/>
      </c>
      <c r="K271" s="184" t="str">
        <f t="shared" si="26"/>
        <v/>
      </c>
      <c r="L271" s="184" t="str">
        <f t="shared" si="26"/>
        <v/>
      </c>
      <c r="M271" s="184" t="str">
        <f t="shared" si="26"/>
        <v/>
      </c>
      <c r="N271" s="184" t="str">
        <f t="shared" si="26"/>
        <v/>
      </c>
      <c r="O271" s="184" t="str">
        <f t="shared" si="26"/>
        <v/>
      </c>
      <c r="P271" s="184" t="str">
        <f t="shared" si="26"/>
        <v/>
      </c>
      <c r="Q271" s="184" t="str">
        <f t="shared" si="26"/>
        <v/>
      </c>
      <c r="R271" s="184" t="str">
        <f t="shared" si="26"/>
        <v/>
      </c>
      <c r="S271" s="184" t="str">
        <f t="shared" si="26"/>
        <v/>
      </c>
      <c r="T271" s="184" t="str">
        <f t="shared" si="26"/>
        <v/>
      </c>
      <c r="U271" s="184" t="str">
        <f t="shared" si="26"/>
        <v/>
      </c>
      <c r="V271" s="184" t="str">
        <f t="shared" si="26"/>
        <v/>
      </c>
      <c r="W271" s="184" t="str">
        <f t="shared" si="26"/>
        <v/>
      </c>
      <c r="X271" s="184" t="str">
        <f t="shared" si="26"/>
        <v/>
      </c>
      <c r="Y271" s="184" t="str">
        <f t="shared" si="26"/>
        <v/>
      </c>
      <c r="Z271" s="184" t="str">
        <f t="shared" si="26"/>
        <v/>
      </c>
      <c r="AA271" s="184" t="str">
        <f t="shared" si="26"/>
        <v/>
      </c>
      <c r="AB271" s="184" t="str">
        <f t="shared" si="26"/>
        <v/>
      </c>
      <c r="AC271" s="184" t="str">
        <f t="shared" si="26"/>
        <v/>
      </c>
      <c r="AD271" s="184" t="str">
        <f t="shared" si="26"/>
        <v/>
      </c>
      <c r="AE271" s="184" t="str">
        <f t="shared" si="26"/>
        <v/>
      </c>
      <c r="AF271" s="184" t="str">
        <f t="shared" si="26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1092" priority="339">
      <formula>B$9&gt;=20/24</formula>
    </cfRule>
    <cfRule type="expression" dxfId="1091" priority="340">
      <formula>AND(B$9&gt;=14/24,B$9&lt;20/24)</formula>
    </cfRule>
    <cfRule type="expression" dxfId="1090" priority="341">
      <formula>AND(B$9&gt;=8/24,B$9&lt;14/24)</formula>
    </cfRule>
    <cfRule type="expression" dxfId="1089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088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1087" priority="336">
      <formula>$AH12=0</formula>
    </cfRule>
  </conditionalFormatting>
  <conditionalFormatting sqref="A114">
    <cfRule type="expression" dxfId="1086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085" priority="333">
      <formula>$AH45=0</formula>
    </cfRule>
  </conditionalFormatting>
  <conditionalFormatting sqref="A98">
    <cfRule type="expression" dxfId="1084" priority="332">
      <formula>$AH98=0</formula>
    </cfRule>
  </conditionalFormatting>
  <conditionalFormatting sqref="A18">
    <cfRule type="expression" dxfId="1083" priority="331">
      <formula>$AH18=0</formula>
    </cfRule>
  </conditionalFormatting>
  <conditionalFormatting sqref="A196:A201">
    <cfRule type="expression" dxfId="1082" priority="330">
      <formula>$AH196=0</formula>
    </cfRule>
  </conditionalFormatting>
  <conditionalFormatting sqref="A190:A195">
    <cfRule type="expression" dxfId="1081" priority="329">
      <formula>$AH190=0</formula>
    </cfRule>
  </conditionalFormatting>
  <conditionalFormatting sqref="A58">
    <cfRule type="expression" dxfId="1080" priority="328">
      <formula>$AH58=0</formula>
    </cfRule>
  </conditionalFormatting>
  <conditionalFormatting sqref="A94">
    <cfRule type="expression" dxfId="1079" priority="327">
      <formula>$AH94=0</formula>
    </cfRule>
  </conditionalFormatting>
  <conditionalFormatting sqref="E99:X99 AD99:AF99">
    <cfRule type="expression" dxfId="1078" priority="323">
      <formula>E$9&gt;=20/24</formula>
    </cfRule>
    <cfRule type="expression" dxfId="1077" priority="324">
      <formula>AND(E$9&gt;=14/24,E$9&lt;20/24)</formula>
    </cfRule>
    <cfRule type="expression" dxfId="1076" priority="325">
      <formula>AND(E$9&gt;=8/24,E$9&lt;14/24)</formula>
    </cfRule>
    <cfRule type="expression" dxfId="1075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074" priority="345">
      <formula>C$9&gt;=20/24</formula>
    </cfRule>
    <cfRule type="expression" dxfId="1073" priority="346">
      <formula>AND(C$9&gt;=14/24,C$9&lt;20/24)</formula>
    </cfRule>
    <cfRule type="expression" dxfId="1072" priority="347">
      <formula>AND(C$9&gt;=8/24,C$9&lt;14/24)</formula>
    </cfRule>
    <cfRule type="expression" dxfId="1071" priority="348">
      <formula>C$9&lt;8/24</formula>
    </cfRule>
  </conditionalFormatting>
  <conditionalFormatting sqref="A233">
    <cfRule type="expression" dxfId="1070" priority="349">
      <formula>$AH233=0</formula>
    </cfRule>
  </conditionalFormatting>
  <conditionalFormatting sqref="AG245">
    <cfRule type="expression" dxfId="1069" priority="350">
      <formula>B$9&gt;=20/24</formula>
    </cfRule>
    <cfRule type="expression" dxfId="1068" priority="351">
      <formula>AND(B$9&gt;=14/24,B$9&lt;20/24)</formula>
    </cfRule>
    <cfRule type="expression" dxfId="1067" priority="352">
      <formula>AND(B$9&gt;=8/24,B$9&lt;14/24)</formula>
    </cfRule>
    <cfRule type="expression" dxfId="1066" priority="353">
      <formula>B$9&lt;8/24</formula>
    </cfRule>
  </conditionalFormatting>
  <conditionalFormatting sqref="S8">
    <cfRule type="expression" dxfId="1065" priority="318">
      <formula>U$9&gt;=20/24</formula>
    </cfRule>
    <cfRule type="expression" dxfId="1064" priority="319">
      <formula>AND(U$9&gt;=14/24,U$9&lt;20/24)</formula>
    </cfRule>
    <cfRule type="expression" dxfId="1063" priority="320">
      <formula>AND(U$9&gt;=8/24,U$9&lt;14/24)</formula>
    </cfRule>
    <cfRule type="expression" dxfId="1062" priority="321">
      <formula>U$9&lt;8/24</formula>
    </cfRule>
  </conditionalFormatting>
  <conditionalFormatting sqref="AB8">
    <cfRule type="expression" dxfId="1061" priority="314">
      <formula>AD$9&gt;=20/24</formula>
    </cfRule>
    <cfRule type="expression" dxfId="1060" priority="315">
      <formula>AND(AD$9&gt;=14/24,AD$9&lt;20/24)</formula>
    </cfRule>
    <cfRule type="expression" dxfId="1059" priority="316">
      <formula>AND(AD$9&gt;=8/24,AD$9&lt;14/24)</formula>
    </cfRule>
    <cfRule type="expression" dxfId="1058" priority="317">
      <formula>AD$9&lt;8/24</formula>
    </cfRule>
  </conditionalFormatting>
  <conditionalFormatting sqref="AH245:AX245">
    <cfRule type="expression" dxfId="1057" priority="354">
      <formula>AG$9&gt;=20/24</formula>
    </cfRule>
    <cfRule type="expression" dxfId="1056" priority="355">
      <formula>AND(AG$9&gt;=14/24,AG$9&lt;20/24)</formula>
    </cfRule>
    <cfRule type="expression" dxfId="1055" priority="356">
      <formula>AND(AG$9&gt;=8/24,AG$9&lt;14/24)</formula>
    </cfRule>
    <cfRule type="expression" dxfId="1054" priority="357">
      <formula>AG$9&lt;8/24</formula>
    </cfRule>
  </conditionalFormatting>
  <conditionalFormatting sqref="T245">
    <cfRule type="expression" dxfId="1053" priority="358">
      <formula>AX$9&gt;=20/24</formula>
    </cfRule>
    <cfRule type="expression" dxfId="1052" priority="359">
      <formula>AND(AX$9&gt;=14/24,AX$9&lt;20/24)</formula>
    </cfRule>
    <cfRule type="expression" dxfId="1051" priority="360">
      <formula>AND(AX$9&gt;=8/24,AX$9&lt;14/24)</formula>
    </cfRule>
    <cfRule type="expression" dxfId="1050" priority="361">
      <formula>AX$9&lt;8/24</formula>
    </cfRule>
  </conditionalFormatting>
  <conditionalFormatting sqref="A115:A116">
    <cfRule type="expression" dxfId="1049" priority="313">
      <formula>$AH115=0</formula>
    </cfRule>
  </conditionalFormatting>
  <conditionalFormatting sqref="AB54:AF55 M54:Q56 AC56:AF57 E71:AF71">
    <cfRule type="expression" dxfId="1048" priority="309">
      <formula>E$9&gt;=20/24</formula>
    </cfRule>
    <cfRule type="expression" dxfId="1047" priority="310">
      <formula>AND(E$9&gt;=14/24,E$9&lt;20/24)</formula>
    </cfRule>
    <cfRule type="expression" dxfId="1046" priority="311">
      <formula>AND(E$9&gt;=8/24,E$9&lt;14/24)</formula>
    </cfRule>
    <cfRule type="expression" dxfId="1045" priority="312">
      <formula>E$9&lt;8/24</formula>
    </cfRule>
  </conditionalFormatting>
  <conditionalFormatting sqref="AB53:AF53 M53:Q53">
    <cfRule type="expression" dxfId="1044" priority="305">
      <formula>M$9&gt;=20/24</formula>
    </cfRule>
    <cfRule type="expression" dxfId="1043" priority="306">
      <formula>AND(M$9&gt;=14/24,M$9&lt;20/24)</formula>
    </cfRule>
    <cfRule type="expression" dxfId="1042" priority="307">
      <formula>AND(M$9&gt;=8/24,M$9&lt;14/24)</formula>
    </cfRule>
    <cfRule type="expression" dxfId="1041" priority="308">
      <formula>M$9&lt;8/24</formula>
    </cfRule>
  </conditionalFormatting>
  <conditionalFormatting sqref="AB53:AF55 M53:Q56 AC56:AF57">
    <cfRule type="expression" dxfId="1040" priority="304">
      <formula>M53&gt;$AG53</formula>
    </cfRule>
  </conditionalFormatting>
  <conditionalFormatting sqref="D86:AF86 M100:X106 X96:AF96 X47:AF47 N83:N84 E72:X73 X67:AF69 Y72:AF74 AD100:AF106">
    <cfRule type="expression" dxfId="1039" priority="300">
      <formula>D$9&gt;=20/24</formula>
    </cfRule>
    <cfRule type="expression" dxfId="1038" priority="301">
      <formula>AND(D$9&gt;=14/24,D$9&lt;20/24)</formula>
    </cfRule>
    <cfRule type="expression" dxfId="1037" priority="302">
      <formula>AND(D$9&gt;=8/24,D$9&lt;14/24)</formula>
    </cfRule>
    <cfRule type="expression" dxfId="1036" priority="303">
      <formula>D$9&lt;8/24</formula>
    </cfRule>
  </conditionalFormatting>
  <conditionalFormatting sqref="X47:AF47 X67:AF69">
    <cfRule type="expression" dxfId="1035" priority="299">
      <formula>X47&gt;$AG47</formula>
    </cfRule>
  </conditionalFormatting>
  <conditionalFormatting sqref="R53:AA58 AB56:AB58 AC58:AF58">
    <cfRule type="expression" dxfId="1034" priority="295">
      <formula>R$9&gt;=20/24</formula>
    </cfRule>
    <cfRule type="expression" dxfId="1033" priority="296">
      <formula>AND(R$9&gt;=14/24,R$9&lt;20/24)</formula>
    </cfRule>
    <cfRule type="expression" dxfId="1032" priority="297">
      <formula>AND(R$9&gt;=8/24,R$9&lt;14/24)</formula>
    </cfRule>
    <cfRule type="expression" dxfId="1031" priority="298">
      <formula>R$9&lt;8/24</formula>
    </cfRule>
  </conditionalFormatting>
  <conditionalFormatting sqref="R53:AA58 AB56:AB58 AC58:AF58">
    <cfRule type="expression" dxfId="1030" priority="294">
      <formula>R53&gt;$AG53</formula>
    </cfRule>
  </conditionalFormatting>
  <conditionalFormatting sqref="C97:AF97 D88:AF88">
    <cfRule type="expression" dxfId="1029" priority="290">
      <formula>C$9&gt;=20/24</formula>
    </cfRule>
    <cfRule type="expression" dxfId="1028" priority="291">
      <formula>AND(C$9&gt;=14/24,C$9&lt;20/24)</formula>
    </cfRule>
    <cfRule type="expression" dxfId="1027" priority="292">
      <formula>AND(C$9&gt;=8/24,C$9&lt;14/24)</formula>
    </cfRule>
    <cfRule type="expression" dxfId="1026" priority="293">
      <formula>C$9&lt;8/24</formula>
    </cfRule>
  </conditionalFormatting>
  <conditionalFormatting sqref="T47:W47">
    <cfRule type="expression" dxfId="1025" priority="286">
      <formula>T$9&gt;=20/24</formula>
    </cfRule>
    <cfRule type="expression" dxfId="1024" priority="287">
      <formula>AND(T$9&gt;=14/24,T$9&lt;20/24)</formula>
    </cfRule>
    <cfRule type="expression" dxfId="1023" priority="288">
      <formula>AND(T$9&gt;=8/24,T$9&lt;14/24)</formula>
    </cfRule>
    <cfRule type="expression" dxfId="1022" priority="289">
      <formula>T$9&lt;8/24</formula>
    </cfRule>
  </conditionalFormatting>
  <conditionalFormatting sqref="T47:W47">
    <cfRule type="expression" dxfId="1021" priority="285">
      <formula>T47&gt;$AG47</formula>
    </cfRule>
  </conditionalFormatting>
  <conditionalFormatting sqref="F54:L55">
    <cfRule type="expression" dxfId="1020" priority="281">
      <formula>F$9&gt;=20/24</formula>
    </cfRule>
    <cfRule type="expression" dxfId="1019" priority="282">
      <formula>AND(F$9&gt;=14/24,F$9&lt;20/24)</formula>
    </cfRule>
    <cfRule type="expression" dxfId="1018" priority="283">
      <formula>AND(F$9&gt;=8/24,F$9&lt;14/24)</formula>
    </cfRule>
    <cfRule type="expression" dxfId="1017" priority="284">
      <formula>F$9&lt;8/24</formula>
    </cfRule>
  </conditionalFormatting>
  <conditionalFormatting sqref="F53:L53">
    <cfRule type="expression" dxfId="1016" priority="277">
      <formula>F$9&gt;=20/24</formula>
    </cfRule>
    <cfRule type="expression" dxfId="1015" priority="278">
      <formula>AND(F$9&gt;=14/24,F$9&lt;20/24)</formula>
    </cfRule>
    <cfRule type="expression" dxfId="1014" priority="279">
      <formula>AND(F$9&gt;=8/24,F$9&lt;14/24)</formula>
    </cfRule>
    <cfRule type="expression" dxfId="1013" priority="280">
      <formula>F$9&lt;8/24</formula>
    </cfRule>
  </conditionalFormatting>
  <conditionalFormatting sqref="F53:L55">
    <cfRule type="expression" dxfId="1012" priority="276">
      <formula>F53&gt;$AG53</formula>
    </cfRule>
  </conditionalFormatting>
  <conditionalFormatting sqref="AG70 AG87 E100:L106 Q67:W69">
    <cfRule type="expression" dxfId="1011" priority="272">
      <formula>E$9&gt;=20/24</formula>
    </cfRule>
    <cfRule type="expression" dxfId="1010" priority="273">
      <formula>AND(E$9&gt;=14/24,E$9&lt;20/24)</formula>
    </cfRule>
    <cfRule type="expression" dxfId="1009" priority="274">
      <formula>AND(E$9&gt;=8/24,E$9&lt;14/24)</formula>
    </cfRule>
    <cfRule type="expression" dxfId="1008" priority="275">
      <formula>E$9&lt;8/24</formula>
    </cfRule>
  </conditionalFormatting>
  <conditionalFormatting sqref="AG48 AG66 AG70 Q67:W69">
    <cfRule type="expression" dxfId="1007" priority="271">
      <formula>Q48&gt;$AG48</formula>
    </cfRule>
  </conditionalFormatting>
  <conditionalFormatting sqref="A43">
    <cfRule type="expression" dxfId="1006" priority="265">
      <formula>$AH43=0</formula>
    </cfRule>
  </conditionalFormatting>
  <conditionalFormatting sqref="X91:AF95">
    <cfRule type="expression" dxfId="1005" priority="261">
      <formula>X$9&gt;=20/24</formula>
    </cfRule>
    <cfRule type="expression" dxfId="1004" priority="262">
      <formula>AND(X$9&gt;=14/24,X$9&lt;20/24)</formula>
    </cfRule>
    <cfRule type="expression" dxfId="1003" priority="263">
      <formula>AND(X$9&gt;=8/24,X$9&lt;14/24)</formula>
    </cfRule>
    <cfRule type="expression" dxfId="1002" priority="264">
      <formula>X$9&lt;8/24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1001" priority="257">
      <formula>E$9&gt;=20/24</formula>
    </cfRule>
    <cfRule type="expression" dxfId="1000" priority="258">
      <formula>AND(E$9&gt;=14/24,E$9&lt;20/24)</formula>
    </cfRule>
    <cfRule type="expression" dxfId="999" priority="259">
      <formula>AND(E$9&gt;=8/24,E$9&lt;14/24)</formula>
    </cfRule>
    <cfRule type="expression" dxfId="998" priority="260">
      <formula>E$9&lt;8/24</formula>
    </cfRule>
  </conditionalFormatting>
  <conditionalFormatting sqref="E49:AF51">
    <cfRule type="expression" dxfId="997" priority="256">
      <formula>E49&gt;$AG49</formula>
    </cfRule>
  </conditionalFormatting>
  <conditionalFormatting sqref="AG52">
    <cfRule type="expression" dxfId="996" priority="252">
      <formula>AG$9&gt;=20/24</formula>
    </cfRule>
    <cfRule type="expression" dxfId="995" priority="253">
      <formula>AND(AG$9&gt;=14/24,AG$9&lt;20/24)</formula>
    </cfRule>
    <cfRule type="expression" dxfId="994" priority="254">
      <formula>AND(AG$9&gt;=8/24,AG$9&lt;14/24)</formula>
    </cfRule>
    <cfRule type="expression" dxfId="993" priority="255">
      <formula>AG$9&lt;8/24</formula>
    </cfRule>
  </conditionalFormatting>
  <conditionalFormatting sqref="AG52">
    <cfRule type="expression" dxfId="992" priority="251">
      <formula>AG52&gt;$AG52</formula>
    </cfRule>
  </conditionalFormatting>
  <conditionalFormatting sqref="C107:AF107">
    <cfRule type="expression" dxfId="991" priority="247">
      <formula>C$9&gt;=20/24</formula>
    </cfRule>
    <cfRule type="expression" dxfId="990" priority="248">
      <formula>AND(C$9&gt;=14/24,C$9&lt;20/24)</formula>
    </cfRule>
    <cfRule type="expression" dxfId="989" priority="249">
      <formula>AND(C$9&gt;=8/24,C$9&lt;14/24)</formula>
    </cfRule>
    <cfRule type="expression" dxfId="988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987" priority="245">
      <formula>$AH40=0</formula>
    </cfRule>
  </conditionalFormatting>
  <conditionalFormatting sqref="A90">
    <cfRule type="expression" dxfId="986" priority="243">
      <formula>$AH90=0</formula>
    </cfRule>
  </conditionalFormatting>
  <conditionalFormatting sqref="A87">
    <cfRule type="expression" dxfId="985" priority="244">
      <formula>$AH87=0</formula>
    </cfRule>
  </conditionalFormatting>
  <conditionalFormatting sqref="D110:AF110">
    <cfRule type="expression" dxfId="984" priority="239">
      <formula>D$9&gt;=20/24</formula>
    </cfRule>
    <cfRule type="expression" dxfId="983" priority="240">
      <formula>AND(D$9&gt;=14/24,D$9&lt;20/24)</formula>
    </cfRule>
    <cfRule type="expression" dxfId="982" priority="241">
      <formula>AND(D$9&gt;=8/24,D$9&lt;14/24)</formula>
    </cfRule>
    <cfRule type="expression" dxfId="981" priority="242">
      <formula>D$9&lt;8/24</formula>
    </cfRule>
  </conditionalFormatting>
  <conditionalFormatting sqref="A110">
    <cfRule type="expression" dxfId="980" priority="238">
      <formula>$AH110=0</formula>
    </cfRule>
  </conditionalFormatting>
  <conditionalFormatting sqref="A21">
    <cfRule type="expression" dxfId="979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978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977" priority="230">
      <formula>Y$9&gt;=20/24</formula>
    </cfRule>
    <cfRule type="expression" dxfId="976" priority="231">
      <formula>AND(Y$9&gt;=14/24,Y$9&lt;20/24)</formula>
    </cfRule>
    <cfRule type="expression" dxfId="975" priority="232">
      <formula>AND(Y$9&gt;=8/24,Y$9&lt;14/24)</formula>
    </cfRule>
    <cfRule type="expression" dxfId="974" priority="233">
      <formula>Y$9&lt;8/24</formula>
    </cfRule>
  </conditionalFormatting>
  <conditionalFormatting sqref="Y100:AC106">
    <cfRule type="expression" dxfId="973" priority="226">
      <formula>Y$9&gt;=20/24</formula>
    </cfRule>
    <cfRule type="expression" dxfId="972" priority="227">
      <formula>AND(Y$9&gt;=14/24,Y$9&lt;20/24)</formula>
    </cfRule>
    <cfRule type="expression" dxfId="971" priority="228">
      <formula>AND(Y$9&gt;=8/24,Y$9&lt;14/24)</formula>
    </cfRule>
    <cfRule type="expression" dxfId="970" priority="229">
      <formula>Y$9&lt;8/24</formula>
    </cfRule>
  </conditionalFormatting>
  <conditionalFormatting sqref="C109 C111:C116 R17:AF30">
    <cfRule type="expression" dxfId="969" priority="222">
      <formula>C$9&gt;=20/24</formula>
    </cfRule>
    <cfRule type="expression" dxfId="968" priority="223">
      <formula>AND(C$9&gt;=14/24,C$9&lt;20/24)</formula>
    </cfRule>
    <cfRule type="expression" dxfId="967" priority="224">
      <formula>AND(C$9&gt;=8/24,C$9&lt;14/24)</formula>
    </cfRule>
    <cfRule type="expression" dxfId="966" priority="225">
      <formula>C$9&lt;8/24</formula>
    </cfRule>
  </conditionalFormatting>
  <conditionalFormatting sqref="C47:S47">
    <cfRule type="expression" dxfId="965" priority="218">
      <formula>C$9&gt;=20/24</formula>
    </cfRule>
    <cfRule type="expression" dxfId="964" priority="219">
      <formula>AND(C$9&gt;=14/24,C$9&lt;20/24)</formula>
    </cfRule>
    <cfRule type="expression" dxfId="963" priority="220">
      <formula>AND(C$9&gt;=8/24,C$9&lt;14/24)</formula>
    </cfRule>
    <cfRule type="expression" dxfId="962" priority="221">
      <formula>C$9&lt;8/24</formula>
    </cfRule>
  </conditionalFormatting>
  <conditionalFormatting sqref="C47:S47 R17:AF30">
    <cfRule type="expression" dxfId="961" priority="217">
      <formula>C17&gt;$AG17</formula>
    </cfRule>
  </conditionalFormatting>
  <conditionalFormatting sqref="C99:D99">
    <cfRule type="expression" dxfId="960" priority="213">
      <formula>C$9&gt;=20/24</formula>
    </cfRule>
    <cfRule type="expression" dxfId="959" priority="214">
      <formula>AND(C$9&gt;=14/24,C$9&lt;20/24)</formula>
    </cfRule>
    <cfRule type="expression" dxfId="958" priority="215">
      <formula>AND(C$9&gt;=8/24,C$9&lt;14/24)</formula>
    </cfRule>
    <cfRule type="expression" dxfId="957" priority="216">
      <formula>C$9&lt;8/24</formula>
    </cfRule>
  </conditionalFormatting>
  <conditionalFormatting sqref="C86 C96:W96 C83:AF85 D100:D106 E67:P69 E74:X76 Y75:AF76">
    <cfRule type="expression" dxfId="956" priority="209">
      <formula>C$9&gt;=20/24</formula>
    </cfRule>
    <cfRule type="expression" dxfId="955" priority="210">
      <formula>AND(C$9&gt;=14/24,C$9&lt;20/24)</formula>
    </cfRule>
    <cfRule type="expression" dxfId="954" priority="211">
      <formula>AND(C$9&gt;=8/24,C$9&lt;14/24)</formula>
    </cfRule>
    <cfRule type="expression" dxfId="953" priority="212">
      <formula>C$9&lt;8/24</formula>
    </cfRule>
  </conditionalFormatting>
  <conditionalFormatting sqref="F56:L57 E67:P69 M57:Q57">
    <cfRule type="expression" dxfId="952" priority="208">
      <formula>E56&gt;$AG56</formula>
    </cfRule>
  </conditionalFormatting>
  <conditionalFormatting sqref="F58:Q58">
    <cfRule type="expression" dxfId="951" priority="204">
      <formula>F$9&gt;=20/24</formula>
    </cfRule>
    <cfRule type="expression" dxfId="950" priority="205">
      <formula>AND(F$9&gt;=14/24,F$9&lt;20/24)</formula>
    </cfRule>
    <cfRule type="expression" dxfId="949" priority="206">
      <formula>AND(F$9&gt;=8/24,F$9&lt;14/24)</formula>
    </cfRule>
    <cfRule type="expression" dxfId="948" priority="207">
      <formula>F$9&lt;8/24</formula>
    </cfRule>
  </conditionalFormatting>
  <conditionalFormatting sqref="F58:Q58">
    <cfRule type="expression" dxfId="947" priority="203">
      <formula>F58&gt;$AG58</formula>
    </cfRule>
  </conditionalFormatting>
  <conditionalFormatting sqref="B54:E57 B71:D71">
    <cfRule type="expression" dxfId="946" priority="132">
      <formula>B$9&gt;=20/24</formula>
    </cfRule>
    <cfRule type="expression" dxfId="945" priority="133">
      <formula>AND(B$9&gt;=14/24,B$9&lt;20/24)</formula>
    </cfRule>
    <cfRule type="expression" dxfId="944" priority="134">
      <formula>AND(B$9&gt;=8/24,B$9&lt;14/24)</formula>
    </cfRule>
    <cfRule type="expression" dxfId="943" priority="135">
      <formula>B$9&lt;8/24</formula>
    </cfRule>
  </conditionalFormatting>
  <conditionalFormatting sqref="C87:AF87 C89:AF89 C98:AF98 C70:AF70">
    <cfRule type="expression" dxfId="942" priority="199">
      <formula>C$9&gt;=20/24</formula>
    </cfRule>
    <cfRule type="expression" dxfId="941" priority="200">
      <formula>AND(C$9&gt;=14/24,C$9&lt;20/24)</formula>
    </cfRule>
    <cfRule type="expression" dxfId="940" priority="201">
      <formula>AND(C$9&gt;=8/24,C$9&lt;14/24)</formula>
    </cfRule>
    <cfRule type="expression" dxfId="939" priority="202">
      <formula>C$9&lt;8/24</formula>
    </cfRule>
  </conditionalFormatting>
  <conditionalFormatting sqref="C70:AF70 C65:AF66">
    <cfRule type="expression" dxfId="938" priority="198">
      <formula>C65&gt;$AG65</formula>
    </cfRule>
  </conditionalFormatting>
  <conditionalFormatting sqref="C82:AF82">
    <cfRule type="expression" dxfId="937" priority="194">
      <formula>C$9&gt;=20/24</formula>
    </cfRule>
    <cfRule type="expression" dxfId="936" priority="195">
      <formula>AND(C$9&gt;=14/24,C$9&lt;20/24)</formula>
    </cfRule>
    <cfRule type="expression" dxfId="935" priority="196">
      <formula>AND(C$9&gt;=8/24,C$9&lt;14/24)</formula>
    </cfRule>
    <cfRule type="expression" dxfId="934" priority="197">
      <formula>C$9&lt;8/24</formula>
    </cfRule>
  </conditionalFormatting>
  <conditionalFormatting sqref="C91:W95">
    <cfRule type="expression" dxfId="933" priority="190">
      <formula>C$9&gt;=20/24</formula>
    </cfRule>
    <cfRule type="expression" dxfId="932" priority="191">
      <formula>AND(C$9&gt;=14/24,C$9&lt;20/24)</formula>
    </cfRule>
    <cfRule type="expression" dxfId="931" priority="192">
      <formula>AND(C$9&gt;=8/24,C$9&lt;14/24)</formula>
    </cfRule>
    <cfRule type="expression" dxfId="930" priority="193">
      <formula>C$9&lt;8/24</formula>
    </cfRule>
  </conditionalFormatting>
  <conditionalFormatting sqref="C52:AF52">
    <cfRule type="expression" dxfId="929" priority="186">
      <formula>C$9&gt;=20/24</formula>
    </cfRule>
    <cfRule type="expression" dxfId="928" priority="187">
      <formula>AND(C$9&gt;=14/24,C$9&lt;20/24)</formula>
    </cfRule>
    <cfRule type="expression" dxfId="927" priority="188">
      <formula>AND(C$9&gt;=8/24,C$9&lt;14/24)</formula>
    </cfRule>
    <cfRule type="expression" dxfId="926" priority="189">
      <formula>C$9&lt;8/24</formula>
    </cfRule>
  </conditionalFormatting>
  <conditionalFormatting sqref="C52:AF52">
    <cfRule type="expression" dxfId="925" priority="185">
      <formula>C52&gt;$AG52</formula>
    </cfRule>
  </conditionalFormatting>
  <conditionalFormatting sqref="B49:D51">
    <cfRule type="expression" dxfId="924" priority="100">
      <formula>B$9&gt;=20/24</formula>
    </cfRule>
    <cfRule type="expression" dxfId="923" priority="101">
      <formula>AND(B$9&gt;=14/24,B$9&lt;20/24)</formula>
    </cfRule>
    <cfRule type="expression" dxfId="922" priority="102">
      <formula>AND(B$9&gt;=8/24,B$9&lt;14/24)</formula>
    </cfRule>
    <cfRule type="expression" dxfId="921" priority="103">
      <formula>B$9&lt;8/24</formula>
    </cfRule>
  </conditionalFormatting>
  <conditionalFormatting sqref="C110">
    <cfRule type="expression" dxfId="920" priority="177">
      <formula>C$9&gt;=20/24</formula>
    </cfRule>
    <cfRule type="expression" dxfId="919" priority="178">
      <formula>AND(C$9&gt;=14/24,C$9&lt;20/24)</formula>
    </cfRule>
    <cfRule type="expression" dxfId="918" priority="179">
      <formula>AND(C$9&gt;=8/24,C$9&lt;14/24)</formula>
    </cfRule>
    <cfRule type="expression" dxfId="917" priority="180">
      <formula>C$9&lt;8/24</formula>
    </cfRule>
  </conditionalFormatting>
  <conditionalFormatting sqref="F59:AF64">
    <cfRule type="expression" dxfId="916" priority="173">
      <formula>F$9&gt;=20/24</formula>
    </cfRule>
    <cfRule type="expression" dxfId="915" priority="174">
      <formula>AND(F$9&gt;=14/24,F$9&lt;20/24)</formula>
    </cfRule>
    <cfRule type="expression" dxfId="914" priority="175">
      <formula>AND(F$9&gt;=8/24,F$9&lt;14/24)</formula>
    </cfRule>
    <cfRule type="expression" dxfId="913" priority="176">
      <formula>F$9&lt;8/24</formula>
    </cfRule>
  </conditionalFormatting>
  <conditionalFormatting sqref="F59:AF64">
    <cfRule type="expression" dxfId="912" priority="172">
      <formula>F59&gt;$AG59</formula>
    </cfRule>
  </conditionalFormatting>
  <conditionalFormatting sqref="R13:AF15">
    <cfRule type="expression" dxfId="911" priority="171">
      <formula>R13&gt;$AG13</formula>
    </cfRule>
  </conditionalFormatting>
  <conditionalFormatting sqref="R12:AF12">
    <cfRule type="expression" dxfId="910" priority="167">
      <formula>R$9&gt;=20/24</formula>
    </cfRule>
    <cfRule type="expression" dxfId="909" priority="168">
      <formula>AND(R$9&gt;=14/24,R$9&lt;20/24)</formula>
    </cfRule>
    <cfRule type="expression" dxfId="908" priority="169">
      <formula>AND(R$9&gt;=8/24,R$9&lt;14/24)</formula>
    </cfRule>
    <cfRule type="expression" dxfId="907" priority="170">
      <formula>R$9&lt;8/24</formula>
    </cfRule>
  </conditionalFormatting>
  <conditionalFormatting sqref="R12:AF12">
    <cfRule type="expression" dxfId="906" priority="166">
      <formula>R12&gt;$AG12</formula>
    </cfRule>
  </conditionalFormatting>
  <conditionalFormatting sqref="R13:AF15">
    <cfRule type="expression" dxfId="905" priority="162">
      <formula>R$9&gt;=20/24</formula>
    </cfRule>
    <cfRule type="expression" dxfId="904" priority="163">
      <formula>AND(R$9&gt;=14/24,R$9&lt;20/24)</formula>
    </cfRule>
    <cfRule type="expression" dxfId="903" priority="164">
      <formula>AND(R$9&gt;=8/24,R$9&lt;14/24)</formula>
    </cfRule>
    <cfRule type="expression" dxfId="902" priority="165">
      <formula>R$9&lt;8/24</formula>
    </cfRule>
  </conditionalFormatting>
  <conditionalFormatting sqref="E77:G77 F78:G78 H77:H78 F80:H81 I77:AF81">
    <cfRule type="expression" dxfId="901" priority="154">
      <formula>E$9&gt;=20/24</formula>
    </cfRule>
    <cfRule type="expression" dxfId="900" priority="155">
      <formula>AND(E$9&gt;=14/24,E$9&lt;20/24)</formula>
    </cfRule>
    <cfRule type="expression" dxfId="899" priority="156">
      <formula>AND(E$9&gt;=8/24,E$9&lt;14/24)</formula>
    </cfRule>
    <cfRule type="expression" dxfId="898" priority="157">
      <formula>E$9&lt;8/24</formula>
    </cfRule>
  </conditionalFormatting>
  <conditionalFormatting sqref="AL78:AN78 AL84:AN84 AN79:AN80">
    <cfRule type="expression" dxfId="897" priority="150">
      <formula>AL$9&gt;=20/24</formula>
    </cfRule>
    <cfRule type="expression" dxfId="896" priority="151">
      <formula>AND(AL$9&gt;=14/24,AL$9&lt;20/24)</formula>
    </cfRule>
    <cfRule type="expression" dxfId="895" priority="152">
      <formula>AND(AL$9&gt;=8/24,AL$9&lt;14/24)</formula>
    </cfRule>
    <cfRule type="expression" dxfId="894" priority="153">
      <formula>AL$9&lt;8/24</formula>
    </cfRule>
  </conditionalFormatting>
  <conditionalFormatting sqref="AN81:AN82">
    <cfRule type="expression" dxfId="893" priority="146">
      <formula>AN$9&gt;=20/24</formula>
    </cfRule>
    <cfRule type="expression" dxfId="892" priority="147">
      <formula>AND(AN$9&gt;=14/24,AN$9&lt;20/24)</formula>
    </cfRule>
    <cfRule type="expression" dxfId="891" priority="148">
      <formula>AND(AN$9&gt;=8/24,AN$9&lt;14/24)</formula>
    </cfRule>
    <cfRule type="expression" dxfId="890" priority="149">
      <formula>AN$9&lt;8/24</formula>
    </cfRule>
  </conditionalFormatting>
  <conditionalFormatting sqref="AL79:AM83">
    <cfRule type="expression" dxfId="889" priority="363">
      <formula>AJ$9&gt;=20/24</formula>
    </cfRule>
    <cfRule type="expression" dxfId="888" priority="364">
      <formula>AND(AJ$9&gt;=14/24,AJ$9&lt;20/24)</formula>
    </cfRule>
    <cfRule type="expression" dxfId="887" priority="365">
      <formula>AND(AJ$9&gt;=8/24,AJ$9&lt;14/24)</formula>
    </cfRule>
    <cfRule type="expression" dxfId="886" priority="366">
      <formula>AJ$9&lt;8/24</formula>
    </cfRule>
  </conditionalFormatting>
  <conditionalFormatting sqref="A117">
    <cfRule type="expression" dxfId="885" priority="145">
      <formula>$AH117=0</formula>
    </cfRule>
  </conditionalFormatting>
  <conditionalFormatting sqref="B109 B111:B116 B12:Q15 B17:Q32 B34:AF43 B45:AF45 R31:AF32">
    <cfRule type="expression" dxfId="884" priority="141">
      <formula>B$9&gt;=20/24</formula>
    </cfRule>
    <cfRule type="expression" dxfId="883" priority="142">
      <formula>AND(B$9&gt;=14/24,B$9&lt;20/24)</formula>
    </cfRule>
    <cfRule type="expression" dxfId="882" priority="143">
      <formula>AND(B$9&gt;=8/24,B$9&lt;14/24)</formula>
    </cfRule>
    <cfRule type="expression" dxfId="881" priority="144">
      <formula>B$9&lt;8/24</formula>
    </cfRule>
  </conditionalFormatting>
  <conditionalFormatting sqref="B12:Q15 B17:Q32 B34:AF43 B45:AF45 R31:AF32">
    <cfRule type="expression" dxfId="880" priority="140">
      <formula>B12&gt;$AG12</formula>
    </cfRule>
  </conditionalFormatting>
  <conditionalFormatting sqref="B99">
    <cfRule type="expression" dxfId="879" priority="136">
      <formula>B$9&gt;=20/24</formula>
    </cfRule>
    <cfRule type="expression" dxfId="878" priority="137">
      <formula>AND(B$9&gt;=14/24,B$9&lt;20/24)</formula>
    </cfRule>
    <cfRule type="expression" dxfId="877" priority="138">
      <formula>AND(B$9&gt;=8/24,B$9&lt;14/24)</formula>
    </cfRule>
    <cfRule type="expression" dxfId="876" priority="139">
      <formula>B$9&lt;8/24</formula>
    </cfRule>
  </conditionalFormatting>
  <conditionalFormatting sqref="B53:E53">
    <cfRule type="expression" dxfId="875" priority="128">
      <formula>B$9&gt;=20/24</formula>
    </cfRule>
    <cfRule type="expression" dxfId="874" priority="129">
      <formula>AND(B$9&gt;=14/24,B$9&lt;20/24)</formula>
    </cfRule>
    <cfRule type="expression" dxfId="873" priority="130">
      <formula>AND(B$9&gt;=8/24,B$9&lt;14/24)</formula>
    </cfRule>
    <cfRule type="expression" dxfId="872" priority="131">
      <formula>B$9&lt;8/24</formula>
    </cfRule>
  </conditionalFormatting>
  <conditionalFormatting sqref="B53:E57">
    <cfRule type="expression" dxfId="871" priority="127">
      <formula>B53&gt;$AG53</formula>
    </cfRule>
  </conditionalFormatting>
  <conditionalFormatting sqref="B96 B86 B47 B100:C106 B67:D69 B72:D74">
    <cfRule type="expression" dxfId="870" priority="123">
      <formula>B$9&gt;=20/24</formula>
    </cfRule>
    <cfRule type="expression" dxfId="869" priority="124">
      <formula>AND(B$9&gt;=14/24,B$9&lt;20/24)</formula>
    </cfRule>
    <cfRule type="expression" dxfId="868" priority="125">
      <formula>AND(B$9&gt;=8/24,B$9&lt;14/24)</formula>
    </cfRule>
    <cfRule type="expression" dxfId="867" priority="126">
      <formula>B$9&lt;8/24</formula>
    </cfRule>
  </conditionalFormatting>
  <conditionalFormatting sqref="B47 B67:D69">
    <cfRule type="expression" dxfId="866" priority="122">
      <formula>B47&gt;$AG47</formula>
    </cfRule>
  </conditionalFormatting>
  <conditionalFormatting sqref="B97 B88:C88">
    <cfRule type="expression" dxfId="865" priority="118">
      <formula>B$9&gt;=20/24</formula>
    </cfRule>
    <cfRule type="expression" dxfId="864" priority="119">
      <formula>AND(B$9&gt;=14/24,B$9&lt;20/24)</formula>
    </cfRule>
    <cfRule type="expression" dxfId="863" priority="120">
      <formula>AND(B$9&gt;=8/24,B$9&lt;14/24)</formula>
    </cfRule>
    <cfRule type="expression" dxfId="862" priority="121">
      <formula>B$9&lt;8/24</formula>
    </cfRule>
  </conditionalFormatting>
  <conditionalFormatting sqref="B46:AF46">
    <cfRule type="expression" dxfId="861" priority="114">
      <formula>B$9&gt;=20/24</formula>
    </cfRule>
    <cfRule type="expression" dxfId="860" priority="115">
      <formula>AND(B$9&gt;=14/24,B$9&lt;20/24)</formula>
    </cfRule>
    <cfRule type="expression" dxfId="859" priority="116">
      <formula>AND(B$9&gt;=8/24,B$9&lt;14/24)</formula>
    </cfRule>
    <cfRule type="expression" dxfId="858" priority="117">
      <formula>B$9&lt;8/24</formula>
    </cfRule>
  </conditionalFormatting>
  <conditionalFormatting sqref="B46:AF46">
    <cfRule type="expression" dxfId="857" priority="113">
      <formula>B46&gt;$AG46</formula>
    </cfRule>
  </conditionalFormatting>
  <conditionalFormatting sqref="B58:E58">
    <cfRule type="expression" dxfId="856" priority="109">
      <formula>B$9&gt;=20/24</formula>
    </cfRule>
    <cfRule type="expression" dxfId="855" priority="110">
      <formula>AND(B$9&gt;=14/24,B$9&lt;20/24)</formula>
    </cfRule>
    <cfRule type="expression" dxfId="854" priority="111">
      <formula>AND(B$9&gt;=8/24,B$9&lt;14/24)</formula>
    </cfRule>
    <cfRule type="expression" dxfId="853" priority="112">
      <formula>B$9&lt;8/24</formula>
    </cfRule>
  </conditionalFormatting>
  <conditionalFormatting sqref="B58:E58">
    <cfRule type="expression" dxfId="852" priority="108">
      <formula>B58&gt;$AG58</formula>
    </cfRule>
  </conditionalFormatting>
  <conditionalFormatting sqref="B91:B95">
    <cfRule type="expression" dxfId="851" priority="104">
      <formula>B$9&gt;=20/24</formula>
    </cfRule>
    <cfRule type="expression" dxfId="850" priority="105">
      <formula>AND(B$9&gt;=14/24,B$9&lt;20/24)</formula>
    </cfRule>
    <cfRule type="expression" dxfId="849" priority="106">
      <formula>AND(B$9&gt;=8/24,B$9&lt;14/24)</formula>
    </cfRule>
    <cfRule type="expression" dxfId="848" priority="107">
      <formula>B$9&lt;8/24</formula>
    </cfRule>
  </conditionalFormatting>
  <conditionalFormatting sqref="B49:D51">
    <cfRule type="expression" dxfId="847" priority="99">
      <formula>B49&gt;$AG49</formula>
    </cfRule>
  </conditionalFormatting>
  <conditionalFormatting sqref="B107">
    <cfRule type="expression" dxfId="846" priority="95">
      <formula>B$9&gt;=20/24</formula>
    </cfRule>
    <cfRule type="expression" dxfId="845" priority="96">
      <formula>AND(B$9&gt;=14/24,B$9&lt;20/24)</formula>
    </cfRule>
    <cfRule type="expression" dxfId="844" priority="97">
      <formula>AND(B$9&gt;=8/24,B$9&lt;14/24)</formula>
    </cfRule>
    <cfRule type="expression" dxfId="843" priority="98">
      <formula>B$9&lt;8/24</formula>
    </cfRule>
  </conditionalFormatting>
  <conditionalFormatting sqref="B110">
    <cfRule type="expression" dxfId="842" priority="91">
      <formula>B$9&gt;=20/24</formula>
    </cfRule>
    <cfRule type="expression" dxfId="841" priority="92">
      <formula>AND(B$9&gt;=14/24,B$9&lt;20/24)</formula>
    </cfRule>
    <cfRule type="expression" dxfId="840" priority="93">
      <formula>AND(B$9&gt;=8/24,B$9&lt;14/24)</formula>
    </cfRule>
    <cfRule type="expression" dxfId="839" priority="94">
      <formula>B$9&lt;8/24</formula>
    </cfRule>
  </conditionalFormatting>
  <conditionalFormatting sqref="B83:B85 B75:D76">
    <cfRule type="expression" dxfId="838" priority="87">
      <formula>B$9&gt;=20/24</formula>
    </cfRule>
    <cfRule type="expression" dxfId="837" priority="88">
      <formula>AND(B$9&gt;=14/24,B$9&lt;20/24)</formula>
    </cfRule>
    <cfRule type="expression" dxfId="836" priority="89">
      <formula>AND(B$9&gt;=8/24,B$9&lt;14/24)</formula>
    </cfRule>
    <cfRule type="expression" dxfId="835" priority="90">
      <formula>B$9&lt;8/24</formula>
    </cfRule>
  </conditionalFormatting>
  <conditionalFormatting sqref="B89 B98 B70 B87">
    <cfRule type="expression" dxfId="834" priority="83">
      <formula>B$9&gt;=20/24</formula>
    </cfRule>
    <cfRule type="expression" dxfId="833" priority="84">
      <formula>AND(B$9&gt;=14/24,B$9&lt;20/24)</formula>
    </cfRule>
    <cfRule type="expression" dxfId="832" priority="85">
      <formula>AND(B$9&gt;=8/24,B$9&lt;14/24)</formula>
    </cfRule>
    <cfRule type="expression" dxfId="831" priority="86">
      <formula>B$9&lt;8/24</formula>
    </cfRule>
  </conditionalFormatting>
  <conditionalFormatting sqref="B65:B66 B70 B48:AF48">
    <cfRule type="expression" dxfId="830" priority="82">
      <formula>B48&gt;$AG48</formula>
    </cfRule>
  </conditionalFormatting>
  <conditionalFormatting sqref="B82">
    <cfRule type="expression" dxfId="829" priority="78">
      <formula>B$9&gt;=20/24</formula>
    </cfRule>
    <cfRule type="expression" dxfId="828" priority="79">
      <formula>AND(B$9&gt;=14/24,B$9&lt;20/24)</formula>
    </cfRule>
    <cfRule type="expression" dxfId="827" priority="80">
      <formula>AND(B$9&gt;=8/24,B$9&lt;14/24)</formula>
    </cfRule>
    <cfRule type="expression" dxfId="826" priority="81">
      <formula>B$9&lt;8/24</formula>
    </cfRule>
  </conditionalFormatting>
  <conditionalFormatting sqref="B52">
    <cfRule type="expression" dxfId="825" priority="74">
      <formula>B$9&gt;=20/24</formula>
    </cfRule>
    <cfRule type="expression" dxfId="824" priority="75">
      <formula>AND(B$9&gt;=14/24,B$9&lt;20/24)</formula>
    </cfRule>
    <cfRule type="expression" dxfId="823" priority="76">
      <formula>AND(B$9&gt;=8/24,B$9&lt;14/24)</formula>
    </cfRule>
    <cfRule type="expression" dxfId="822" priority="77">
      <formula>B$9&lt;8/24</formula>
    </cfRule>
  </conditionalFormatting>
  <conditionalFormatting sqref="B52">
    <cfRule type="expression" dxfId="821" priority="73">
      <formula>B52&gt;$AG52</formula>
    </cfRule>
  </conditionalFormatting>
  <conditionalFormatting sqref="B59:E64">
    <cfRule type="expression" dxfId="820" priority="65">
      <formula>B$9&gt;=20/24</formula>
    </cfRule>
    <cfRule type="expression" dxfId="819" priority="66">
      <formula>AND(B$9&gt;=14/24,B$9&lt;20/24)</formula>
    </cfRule>
    <cfRule type="expression" dxfId="818" priority="67">
      <formula>AND(B$9&gt;=8/24,B$9&lt;14/24)</formula>
    </cfRule>
    <cfRule type="expression" dxfId="817" priority="68">
      <formula>B$9&lt;8/24</formula>
    </cfRule>
  </conditionalFormatting>
  <conditionalFormatting sqref="B59:E64">
    <cfRule type="expression" dxfId="816" priority="64">
      <formula>B59&gt;$AG59</formula>
    </cfRule>
  </conditionalFormatting>
  <conditionalFormatting sqref="B77:D78 E78 B80:E81 B79:H79">
    <cfRule type="expression" dxfId="815" priority="60">
      <formula>B$9&gt;=20/24</formula>
    </cfRule>
    <cfRule type="expression" dxfId="814" priority="61">
      <formula>AND(B$9&gt;=14/24,B$9&lt;20/24)</formula>
    </cfRule>
    <cfRule type="expression" dxfId="813" priority="62">
      <formula>AND(B$9&gt;=8/24,B$9&lt;14/24)</formula>
    </cfRule>
    <cfRule type="expression" dxfId="812" priority="63">
      <formula>B$9&lt;8/24</formula>
    </cfRule>
  </conditionalFormatting>
  <conditionalFormatting sqref="A11">
    <cfRule type="expression" dxfId="811" priority="59">
      <formula>$AH11=0</formula>
    </cfRule>
  </conditionalFormatting>
  <conditionalFormatting sqref="R11:AF11">
    <cfRule type="expression" dxfId="810" priority="55">
      <formula>R$9&gt;=20/24</formula>
    </cfRule>
    <cfRule type="expression" dxfId="809" priority="56">
      <formula>AND(R$9&gt;=14/24,R$9&lt;20/24)</formula>
    </cfRule>
    <cfRule type="expression" dxfId="808" priority="57">
      <formula>AND(R$9&gt;=8/24,R$9&lt;14/24)</formula>
    </cfRule>
    <cfRule type="expression" dxfId="807" priority="58">
      <formula>R$9&lt;8/24</formula>
    </cfRule>
  </conditionalFormatting>
  <conditionalFormatting sqref="R11:AF11">
    <cfRule type="expression" dxfId="806" priority="54">
      <formula>R11&gt;$AG11</formula>
    </cfRule>
  </conditionalFormatting>
  <conditionalFormatting sqref="B11:Q11">
    <cfRule type="expression" dxfId="805" priority="50">
      <formula>B$9&gt;=20/24</formula>
    </cfRule>
    <cfRule type="expression" dxfId="804" priority="51">
      <formula>AND(B$9&gt;=14/24,B$9&lt;20/24)</formula>
    </cfRule>
    <cfRule type="expression" dxfId="803" priority="52">
      <formula>AND(B$9&gt;=8/24,B$9&lt;14/24)</formula>
    </cfRule>
    <cfRule type="expression" dxfId="802" priority="53">
      <formula>B$9&lt;8/24</formula>
    </cfRule>
  </conditionalFormatting>
  <conditionalFormatting sqref="B11:Q11">
    <cfRule type="expression" dxfId="801" priority="49">
      <formula>B11&gt;$AG11</formula>
    </cfRule>
  </conditionalFormatting>
  <conditionalFormatting sqref="A16">
    <cfRule type="expression" dxfId="800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R16:AF16">
    <cfRule type="expression" dxfId="799" priority="43">
      <formula>R$9&gt;=20/24</formula>
    </cfRule>
    <cfRule type="expression" dxfId="798" priority="44">
      <formula>AND(R$9&gt;=14/24,R$9&lt;20/24)</formula>
    </cfRule>
    <cfRule type="expression" dxfId="797" priority="45">
      <formula>AND(R$9&gt;=8/24,R$9&lt;14/24)</formula>
    </cfRule>
    <cfRule type="expression" dxfId="796" priority="46">
      <formula>R$9&lt;8/24</formula>
    </cfRule>
  </conditionalFormatting>
  <conditionalFormatting sqref="R16:AF16">
    <cfRule type="expression" dxfId="795" priority="42">
      <formula>R16&gt;$AG16</formula>
    </cfRule>
  </conditionalFormatting>
  <conditionalFormatting sqref="B16:Q16">
    <cfRule type="expression" dxfId="794" priority="38">
      <formula>B$9&gt;=20/24</formula>
    </cfRule>
    <cfRule type="expression" dxfId="793" priority="39">
      <formula>AND(B$9&gt;=14/24,B$9&lt;20/24)</formula>
    </cfRule>
    <cfRule type="expression" dxfId="792" priority="40">
      <formula>AND(B$9&gt;=8/24,B$9&lt;14/24)</formula>
    </cfRule>
    <cfRule type="expression" dxfId="791" priority="41">
      <formula>B$9&lt;8/24</formula>
    </cfRule>
  </conditionalFormatting>
  <conditionalFormatting sqref="B16:Q16">
    <cfRule type="expression" dxfId="790" priority="37">
      <formula>B16&gt;$AG16</formula>
    </cfRule>
  </conditionalFormatting>
  <conditionalFormatting sqref="A33">
    <cfRule type="expression" dxfId="789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B33:AF33">
    <cfRule type="expression" dxfId="788" priority="26">
      <formula>B$9&gt;=20/24</formula>
    </cfRule>
    <cfRule type="expression" dxfId="787" priority="27">
      <formula>AND(B$9&gt;=14/24,B$9&lt;20/24)</formula>
    </cfRule>
    <cfRule type="expression" dxfId="786" priority="28">
      <formula>AND(B$9&gt;=8/24,B$9&lt;14/24)</formula>
    </cfRule>
    <cfRule type="expression" dxfId="785" priority="29">
      <formula>B$9&lt;8/24</formula>
    </cfRule>
  </conditionalFormatting>
  <conditionalFormatting sqref="B33:AF33">
    <cfRule type="expression" dxfId="784" priority="25">
      <formula>B33&gt;$AG33</formula>
    </cfRule>
  </conditionalFormatting>
  <conditionalFormatting sqref="A44">
    <cfRule type="expression" dxfId="783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B44:AF44">
    <cfRule type="expression" dxfId="782" priority="14">
      <formula>B$9&gt;=20/24</formula>
    </cfRule>
    <cfRule type="expression" dxfId="781" priority="15">
      <formula>AND(B$9&gt;=14/24,B$9&lt;20/24)</formula>
    </cfRule>
    <cfRule type="expression" dxfId="780" priority="16">
      <formula>AND(B$9&gt;=8/24,B$9&lt;14/24)</formula>
    </cfRule>
    <cfRule type="expression" dxfId="779" priority="17">
      <formula>B$9&lt;8/24</formula>
    </cfRule>
  </conditionalFormatting>
  <conditionalFormatting sqref="B44:AF44">
    <cfRule type="expression" dxfId="778" priority="13">
      <formula>B44&gt;$AG44</formula>
    </cfRule>
  </conditionalFormatting>
  <conditionalFormatting sqref="B117">
    <cfRule type="expression" dxfId="777" priority="1">
      <formula>B$9&gt;=20/24</formula>
    </cfRule>
    <cfRule type="expression" dxfId="776" priority="2">
      <formula>AND(B$9&gt;=14/24,B$9&lt;20/24)</formula>
    </cfRule>
    <cfRule type="expression" dxfId="775" priority="3">
      <formula>AND(B$9&gt;=8/24,B$9&lt;14/24)</formula>
    </cfRule>
    <cfRule type="expression" dxfId="774" priority="4">
      <formula>B$9&lt;8/24</formula>
    </cfRule>
  </conditionalFormatting>
  <conditionalFormatting sqref="D117:AF117">
    <cfRule type="expression" dxfId="773" priority="9">
      <formula>D$9&gt;=20/24</formula>
    </cfRule>
    <cfRule type="expression" dxfId="772" priority="10">
      <formula>AND(D$9&gt;=14/24,D$9&lt;20/24)</formula>
    </cfRule>
    <cfRule type="expression" dxfId="771" priority="11">
      <formula>AND(D$9&gt;=8/24,D$9&lt;14/24)</formula>
    </cfRule>
    <cfRule type="expression" dxfId="770" priority="12">
      <formula>D$9&lt;8/24</formula>
    </cfRule>
  </conditionalFormatting>
  <conditionalFormatting sqref="C117">
    <cfRule type="expression" dxfId="769" priority="5">
      <formula>C$9&gt;=20/24</formula>
    </cfRule>
    <cfRule type="expression" dxfId="768" priority="6">
      <formula>AND(C$9&gt;=14/24,C$9&lt;20/24)</formula>
    </cfRule>
    <cfRule type="expression" dxfId="767" priority="7">
      <formula>AND(C$9&gt;=8/24,C$9&lt;14/24)</formula>
    </cfRule>
    <cfRule type="expression" dxfId="766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4F6BC816-6227-4FBC-8736-CCF43FB7151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02E337FD-1271-4813-B573-D103BB26248C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F1B189F7-5789-4E83-84ED-3E1E760D1BE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C7DE73A0-14B0-4208-B51E-8E765A6C3E4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A3FA13E5-9015-455B-A6B5-51522C7C1BC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81DEF25D-5877-4A6F-9C65-8953934DAFA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89EB4588-5244-4ED5-87EE-EA7DEF9E9D9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E86AB796-7CA0-4005-907D-060F73F14CD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tabSelected="1" zoomScale="80" zoomScaleNormal="80" workbookViewId="0">
      <pane ySplit="10" topLeftCell="A41" activePane="bottomLeft" state="frozen"/>
      <selection activeCell="Z85" sqref="Z85"/>
      <selection pane="bottomLeft" activeCell="K54" sqref="K54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str">
        <f ca="1">"2079/"&amp;"12/"&amp;INT(MID(CELL("filename",D6),FIND("]",CELL("filename",D6))+1,200))</f>
        <v>2079/12/27</v>
      </c>
      <c r="C4" s="236"/>
      <c r="D4" s="236"/>
      <c r="E4" s="237" t="str">
        <f ca="1">"2079/"&amp;"12/"&amp;INT(MID(CELL("filename",G6),FIND("]",CELL("filename",G6))+1,200))</f>
        <v>2079/12/27</v>
      </c>
      <c r="F4" s="237"/>
      <c r="G4" s="237"/>
      <c r="H4" s="237" t="str">
        <f ca="1">TEXT(E4,"dddd")</f>
        <v>Wednesday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471</v>
      </c>
      <c r="C5" s="33">
        <f t="shared" si="0"/>
        <v>483.4</v>
      </c>
      <c r="D5" s="33">
        <f t="shared" si="0"/>
        <v>0</v>
      </c>
      <c r="E5" s="33">
        <f t="shared" si="0"/>
        <v>0</v>
      </c>
      <c r="F5" s="33">
        <f t="shared" si="0"/>
        <v>0</v>
      </c>
      <c r="G5" s="33">
        <f t="shared" si="0"/>
        <v>0</v>
      </c>
      <c r="H5" s="33">
        <f t="shared" si="0"/>
        <v>0</v>
      </c>
      <c r="I5" s="33">
        <f t="shared" si="0"/>
        <v>0</v>
      </c>
      <c r="J5" s="33">
        <f t="shared" si="0"/>
        <v>0</v>
      </c>
      <c r="K5" s="33">
        <f t="shared" si="0"/>
        <v>0</v>
      </c>
      <c r="L5" s="33">
        <f t="shared" si="0"/>
        <v>0</v>
      </c>
      <c r="M5" s="33">
        <f t="shared" si="0"/>
        <v>0</v>
      </c>
      <c r="N5" s="33">
        <f t="shared" si="0"/>
        <v>0</v>
      </c>
      <c r="O5" s="33">
        <f t="shared" si="0"/>
        <v>0</v>
      </c>
      <c r="P5" s="33">
        <f t="shared" si="0"/>
        <v>0</v>
      </c>
      <c r="Q5" s="33">
        <f t="shared" si="0"/>
        <v>0</v>
      </c>
      <c r="R5" s="33">
        <f t="shared" si="0"/>
        <v>0</v>
      </c>
      <c r="S5" s="33">
        <f t="shared" si="0"/>
        <v>0</v>
      </c>
      <c r="T5" s="33">
        <f t="shared" si="0"/>
        <v>0</v>
      </c>
      <c r="U5" s="33">
        <f t="shared" si="0"/>
        <v>0</v>
      </c>
      <c r="V5" s="33">
        <f t="shared" si="0"/>
        <v>0</v>
      </c>
      <c r="W5" s="33">
        <f t="shared" si="0"/>
        <v>0</v>
      </c>
      <c r="X5" s="33">
        <f t="shared" si="0"/>
        <v>0</v>
      </c>
      <c r="Y5" s="33">
        <f t="shared" si="0"/>
        <v>0</v>
      </c>
      <c r="Z5" s="33">
        <f t="shared" si="0"/>
        <v>0</v>
      </c>
      <c r="AA5" s="33">
        <f t="shared" si="0"/>
        <v>0</v>
      </c>
      <c r="AB5" s="33">
        <f t="shared" si="0"/>
        <v>0</v>
      </c>
      <c r="AC5" s="33">
        <f t="shared" si="0"/>
        <v>0</v>
      </c>
      <c r="AD5" s="33">
        <f t="shared" si="0"/>
        <v>0</v>
      </c>
      <c r="AE5" s="33">
        <f t="shared" si="0"/>
        <v>0</v>
      </c>
      <c r="AF5" s="33">
        <f>B82</f>
        <v>556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4MW at 4:60hr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Load=4</v>
      </c>
      <c r="B7" s="38">
        <f t="shared" ref="B7:AF7" si="1">B89</f>
        <v>1461.6399999999999</v>
      </c>
      <c r="C7" s="38">
        <f t="shared" si="1"/>
        <v>1342.04</v>
      </c>
      <c r="D7" s="38">
        <f t="shared" si="1"/>
        <v>1232.44</v>
      </c>
      <c r="E7" s="38">
        <f t="shared" si="1"/>
        <v>948.04</v>
      </c>
      <c r="F7" s="38">
        <f t="shared" si="1"/>
        <v>3.54</v>
      </c>
      <c r="G7" s="38">
        <f t="shared" si="1"/>
        <v>3.54</v>
      </c>
      <c r="H7" s="38">
        <f t="shared" si="1"/>
        <v>3.54</v>
      </c>
      <c r="I7" s="38">
        <f t="shared" si="1"/>
        <v>3.54</v>
      </c>
      <c r="J7" s="38">
        <f t="shared" si="1"/>
        <v>3.54</v>
      </c>
      <c r="K7" s="38">
        <f t="shared" si="1"/>
        <v>3.54</v>
      </c>
      <c r="L7" s="38">
        <f t="shared" si="1"/>
        <v>3.54</v>
      </c>
      <c r="M7" s="38">
        <f t="shared" si="1"/>
        <v>3.54</v>
      </c>
      <c r="N7" s="38">
        <f>N89</f>
        <v>3.54</v>
      </c>
      <c r="O7" s="38">
        <f t="shared" si="1"/>
        <v>3.54</v>
      </c>
      <c r="P7" s="38">
        <f t="shared" si="1"/>
        <v>3.54</v>
      </c>
      <c r="Q7" s="38">
        <f t="shared" si="1"/>
        <v>3.54</v>
      </c>
      <c r="R7" s="38">
        <f t="shared" si="1"/>
        <v>3.54</v>
      </c>
      <c r="S7" s="38">
        <f t="shared" si="1"/>
        <v>3.54</v>
      </c>
      <c r="T7" s="38">
        <f t="shared" si="1"/>
        <v>3.54</v>
      </c>
      <c r="U7" s="38">
        <f t="shared" si="1"/>
        <v>3.54</v>
      </c>
      <c r="V7" s="38">
        <f t="shared" si="1"/>
        <v>3.54</v>
      </c>
      <c r="W7" s="38">
        <f t="shared" si="1"/>
        <v>3.54</v>
      </c>
      <c r="X7" s="38">
        <f t="shared" si="1"/>
        <v>3.54</v>
      </c>
      <c r="Y7" s="38">
        <f t="shared" si="1"/>
        <v>3.54</v>
      </c>
      <c r="Z7" s="38">
        <f t="shared" si="1"/>
        <v>3.54</v>
      </c>
      <c r="AA7" s="38">
        <f t="shared" si="1"/>
        <v>3.54</v>
      </c>
      <c r="AB7" s="38">
        <f t="shared" si="1"/>
        <v>3.54</v>
      </c>
      <c r="AC7" s="38">
        <f t="shared" si="1"/>
        <v>3.54</v>
      </c>
      <c r="AD7" s="38">
        <f t="shared" si="1"/>
        <v>3.54</v>
      </c>
      <c r="AE7" s="38">
        <f t="shared" si="1"/>
        <v>3.54</v>
      </c>
      <c r="AF7" s="38">
        <f t="shared" si="1"/>
        <v>3.54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>
        <v>26</v>
      </c>
      <c r="C11" s="50">
        <v>26</v>
      </c>
      <c r="D11" s="50">
        <v>26</v>
      </c>
      <c r="E11" s="50">
        <v>26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1">
        <v>86</v>
      </c>
      <c r="AH11" s="52">
        <f t="shared" ref="AH11:AH74" si="2">MAX(B11:AF11)</f>
        <v>26</v>
      </c>
      <c r="AI11" s="53">
        <f t="shared" ref="AI11:AI74" si="3">MIN(B11:AF11)</f>
        <v>26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>
        <v>13</v>
      </c>
      <c r="C12" s="50">
        <v>13</v>
      </c>
      <c r="D12" s="50">
        <v>13</v>
      </c>
      <c r="E12" s="50">
        <v>13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1">
        <v>52.4</v>
      </c>
      <c r="AH12" s="52">
        <f t="shared" si="2"/>
        <v>13</v>
      </c>
      <c r="AI12" s="53">
        <f t="shared" si="3"/>
        <v>13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>
        <v>36.1</v>
      </c>
      <c r="C13" s="50">
        <v>36.1</v>
      </c>
      <c r="D13" s="50">
        <v>36.1</v>
      </c>
      <c r="E13" s="50">
        <v>36.1</v>
      </c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5">
        <v>50</v>
      </c>
      <c r="AH13" s="52">
        <f t="shared" si="2"/>
        <v>36.1</v>
      </c>
      <c r="AI13" s="53">
        <f t="shared" si="3"/>
        <v>36.1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>
        <v>19.600000000000001</v>
      </c>
      <c r="C14" s="50">
        <v>19.600000000000001</v>
      </c>
      <c r="D14" s="50">
        <v>19.600000000000001</v>
      </c>
      <c r="E14" s="50">
        <v>19.600000000000001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5">
        <v>45</v>
      </c>
      <c r="AH14" s="52">
        <f t="shared" si="2"/>
        <v>19.600000000000001</v>
      </c>
      <c r="AI14" s="53">
        <f t="shared" si="3"/>
        <v>19.600000000000001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>
        <v>13</v>
      </c>
      <c r="C15" s="50">
        <v>13</v>
      </c>
      <c r="D15" s="50">
        <v>13</v>
      </c>
      <c r="E15" s="50">
        <v>13</v>
      </c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5">
        <v>42</v>
      </c>
      <c r="AH15" s="52">
        <f t="shared" si="2"/>
        <v>13</v>
      </c>
      <c r="AI15" s="53">
        <f t="shared" si="3"/>
        <v>13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>
        <v>18</v>
      </c>
      <c r="C16" s="50">
        <v>18</v>
      </c>
      <c r="D16" s="50">
        <v>18</v>
      </c>
      <c r="E16" s="50">
        <v>18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5">
        <v>36</v>
      </c>
      <c r="AH16" s="52">
        <f t="shared" si="2"/>
        <v>18</v>
      </c>
      <c r="AI16" s="53">
        <f t="shared" si="3"/>
        <v>18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>
        <v>12.4</v>
      </c>
      <c r="C17" s="50">
        <v>12.4</v>
      </c>
      <c r="D17" s="50">
        <v>12.4</v>
      </c>
      <c r="E17" s="50">
        <v>12.4</v>
      </c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5">
        <v>36</v>
      </c>
      <c r="AH17" s="52">
        <f t="shared" si="2"/>
        <v>12.4</v>
      </c>
      <c r="AI17" s="53">
        <f t="shared" si="3"/>
        <v>12.4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>
        <v>10.9</v>
      </c>
      <c r="C18" s="50">
        <v>10.9</v>
      </c>
      <c r="D18" s="50">
        <v>10.9</v>
      </c>
      <c r="E18" s="50">
        <v>10.9</v>
      </c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6">
        <v>30</v>
      </c>
      <c r="AH18" s="52">
        <f t="shared" si="2"/>
        <v>10.9</v>
      </c>
      <c r="AI18" s="53">
        <f t="shared" si="3"/>
        <v>10.9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>
        <v>7.1</v>
      </c>
      <c r="C19" s="50">
        <v>7.1</v>
      </c>
      <c r="D19" s="50">
        <v>7.1</v>
      </c>
      <c r="E19" s="50">
        <v>7.1</v>
      </c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5">
        <v>24.2</v>
      </c>
      <c r="AH19" s="52">
        <f t="shared" si="2"/>
        <v>7.1</v>
      </c>
      <c r="AI19" s="53">
        <f t="shared" si="3"/>
        <v>7.1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>
        <v>10</v>
      </c>
      <c r="C20" s="50">
        <v>10</v>
      </c>
      <c r="D20" s="50">
        <v>10</v>
      </c>
      <c r="E20" s="50">
        <v>10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5">
        <v>28</v>
      </c>
      <c r="AH20" s="52">
        <f t="shared" si="2"/>
        <v>10</v>
      </c>
      <c r="AI20" s="53">
        <f t="shared" si="3"/>
        <v>10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>
        <v>6.8</v>
      </c>
      <c r="C21" s="50">
        <v>6.8</v>
      </c>
      <c r="D21" s="50">
        <v>6.8</v>
      </c>
      <c r="E21" s="50">
        <v>6.8</v>
      </c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6">
        <v>30</v>
      </c>
      <c r="AH21" s="52">
        <f t="shared" si="2"/>
        <v>6.8</v>
      </c>
      <c r="AI21" s="53">
        <f t="shared" si="3"/>
        <v>6.8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>
        <v>11</v>
      </c>
      <c r="C22" s="50">
        <v>11</v>
      </c>
      <c r="D22" s="50">
        <v>11</v>
      </c>
      <c r="E22" s="50">
        <v>11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5">
        <v>25</v>
      </c>
      <c r="AH22" s="52">
        <f t="shared" si="2"/>
        <v>11</v>
      </c>
      <c r="AI22" s="53">
        <f t="shared" si="3"/>
        <v>11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>
        <v>13</v>
      </c>
      <c r="C23" s="50">
        <v>13</v>
      </c>
      <c r="D23" s="50">
        <v>13</v>
      </c>
      <c r="E23" s="50">
        <v>13</v>
      </c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5">
        <v>25</v>
      </c>
      <c r="AH23" s="52">
        <f t="shared" si="2"/>
        <v>13</v>
      </c>
      <c r="AI23" s="53">
        <f t="shared" si="3"/>
        <v>13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>
        <v>6</v>
      </c>
      <c r="C24" s="50">
        <v>6</v>
      </c>
      <c r="D24" s="50">
        <v>6</v>
      </c>
      <c r="E24" s="50">
        <v>6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>
        <v>11</v>
      </c>
      <c r="C25" s="50">
        <v>11</v>
      </c>
      <c r="D25" s="50">
        <v>11</v>
      </c>
      <c r="E25" s="50">
        <v>11</v>
      </c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5">
        <v>25</v>
      </c>
      <c r="AH25" s="52">
        <f t="shared" si="2"/>
        <v>11</v>
      </c>
      <c r="AI25" s="53">
        <f t="shared" si="3"/>
        <v>11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>
        <v>6.5</v>
      </c>
      <c r="C26" s="50">
        <v>6.5</v>
      </c>
      <c r="D26" s="50">
        <v>6.5</v>
      </c>
      <c r="E26" s="50">
        <v>6.5</v>
      </c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5">
        <v>23.5</v>
      </c>
      <c r="AH26" s="52">
        <f t="shared" si="2"/>
        <v>6.5</v>
      </c>
      <c r="AI26" s="53">
        <f t="shared" si="3"/>
        <v>6.5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>
        <v>3.4</v>
      </c>
      <c r="C27" s="50">
        <v>3.4</v>
      </c>
      <c r="D27" s="50">
        <v>3.4</v>
      </c>
      <c r="E27" s="50">
        <v>3.4</v>
      </c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5">
        <v>22.2</v>
      </c>
      <c r="AH27" s="52">
        <f t="shared" si="2"/>
        <v>3.4</v>
      </c>
      <c r="AI27" s="53">
        <f t="shared" si="3"/>
        <v>3.4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>
        <v>2.6</v>
      </c>
      <c r="C28" s="50">
        <v>2.6</v>
      </c>
      <c r="D28" s="50">
        <v>2.6</v>
      </c>
      <c r="E28" s="50">
        <v>2.6</v>
      </c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>
        <v>3</v>
      </c>
      <c r="C29" s="50">
        <v>3</v>
      </c>
      <c r="D29" s="50">
        <v>3</v>
      </c>
      <c r="E29" s="50">
        <v>3</v>
      </c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5">
        <v>22</v>
      </c>
      <c r="AH29" s="52">
        <f t="shared" si="2"/>
        <v>3</v>
      </c>
      <c r="AI29" s="53">
        <f t="shared" si="3"/>
        <v>3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>
        <v>7</v>
      </c>
      <c r="C30" s="50">
        <v>7</v>
      </c>
      <c r="D30" s="50">
        <v>7</v>
      </c>
      <c r="E30" s="50">
        <v>7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5">
        <v>22</v>
      </c>
      <c r="AH30" s="52">
        <f t="shared" si="2"/>
        <v>7</v>
      </c>
      <c r="AI30" s="53">
        <f t="shared" si="3"/>
        <v>7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>
        <v>8</v>
      </c>
      <c r="C31" s="50">
        <v>8</v>
      </c>
      <c r="D31" s="50">
        <v>8</v>
      </c>
      <c r="E31" s="50">
        <v>8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5">
        <v>20</v>
      </c>
      <c r="AH31" s="52">
        <f t="shared" si="2"/>
        <v>8</v>
      </c>
      <c r="AI31" s="53">
        <f t="shared" si="3"/>
        <v>8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>
        <v>6.4</v>
      </c>
      <c r="C32" s="50">
        <v>6.4</v>
      </c>
      <c r="D32" s="50">
        <v>6.4</v>
      </c>
      <c r="E32" s="50">
        <v>6.4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5">
        <v>18</v>
      </c>
      <c r="AH32" s="52">
        <f t="shared" si="2"/>
        <v>6.4</v>
      </c>
      <c r="AI32" s="53">
        <f t="shared" si="3"/>
        <v>6.4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>
        <v>8.9</v>
      </c>
      <c r="C33" s="50">
        <v>8.9</v>
      </c>
      <c r="D33" s="50">
        <v>8.9</v>
      </c>
      <c r="E33" s="50">
        <v>8.9</v>
      </c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5">
        <v>14.9</v>
      </c>
      <c r="AH33" s="52">
        <f t="shared" si="2"/>
        <v>8.9</v>
      </c>
      <c r="AI33" s="53">
        <f t="shared" si="3"/>
        <v>8.9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>
        <v>6.2</v>
      </c>
      <c r="C34" s="50">
        <v>6.2</v>
      </c>
      <c r="D34" s="50">
        <v>6.2</v>
      </c>
      <c r="E34" s="50">
        <v>6.2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>
        <v>2</v>
      </c>
      <c r="C35" s="50">
        <v>2</v>
      </c>
      <c r="D35" s="50">
        <v>2</v>
      </c>
      <c r="E35" s="50">
        <v>2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>
        <v>2.9</v>
      </c>
      <c r="C36" s="50">
        <v>2.9</v>
      </c>
      <c r="D36" s="50">
        <v>2.9</v>
      </c>
      <c r="E36" s="50">
        <v>2.9</v>
      </c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>
        <v>3</v>
      </c>
      <c r="C37" s="50">
        <v>3</v>
      </c>
      <c r="D37" s="50">
        <v>3</v>
      </c>
      <c r="E37" s="50">
        <v>3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>
        <v>4</v>
      </c>
      <c r="C38" s="50">
        <v>4</v>
      </c>
      <c r="D38" s="50">
        <v>4</v>
      </c>
      <c r="E38" s="50">
        <v>4</v>
      </c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5">
        <v>12</v>
      </c>
      <c r="AH38" s="52">
        <f t="shared" si="2"/>
        <v>4</v>
      </c>
      <c r="AI38" s="53">
        <f t="shared" si="3"/>
        <v>4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>
        <v>3</v>
      </c>
      <c r="C39" s="50">
        <v>3</v>
      </c>
      <c r="D39" s="50">
        <v>3</v>
      </c>
      <c r="E39" s="50">
        <v>3</v>
      </c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>
        <v>2</v>
      </c>
      <c r="C40" s="50">
        <v>2</v>
      </c>
      <c r="D40" s="50">
        <v>2</v>
      </c>
      <c r="E40" s="50">
        <v>2</v>
      </c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7">
        <v>22</v>
      </c>
      <c r="AH40" s="52">
        <f t="shared" si="2"/>
        <v>2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>
        <v>3.6</v>
      </c>
      <c r="C41" s="50">
        <v>3.6</v>
      </c>
      <c r="D41" s="50">
        <v>3.6</v>
      </c>
      <c r="E41" s="50">
        <v>3.6</v>
      </c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>
        <v>3.6</v>
      </c>
      <c r="C42" s="50">
        <v>3.6</v>
      </c>
      <c r="D42" s="50">
        <v>3.6</v>
      </c>
      <c r="E42" s="50">
        <v>3.6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61">
        <v>11</v>
      </c>
      <c r="AH42" s="52">
        <f t="shared" si="2"/>
        <v>3.6</v>
      </c>
      <c r="AI42" s="53">
        <f t="shared" si="3"/>
        <v>3.6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>
        <v>5</v>
      </c>
      <c r="C43" s="50">
        <v>5</v>
      </c>
      <c r="D43" s="50">
        <v>5</v>
      </c>
      <c r="E43" s="50">
        <v>5</v>
      </c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61">
        <v>10</v>
      </c>
      <c r="AH43" s="52">
        <f t="shared" si="2"/>
        <v>5</v>
      </c>
      <c r="AI43" s="53">
        <f t="shared" si="3"/>
        <v>5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>
        <v>6.7</v>
      </c>
      <c r="C44" s="50">
        <v>6.7</v>
      </c>
      <c r="D44" s="50">
        <v>6.7</v>
      </c>
      <c r="E44" s="50">
        <v>6.7</v>
      </c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61">
        <v>10</v>
      </c>
      <c r="AH44" s="52">
        <f t="shared" si="2"/>
        <v>6.7</v>
      </c>
      <c r="AI44" s="53">
        <f t="shared" si="3"/>
        <v>6.7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>
        <v>0</v>
      </c>
      <c r="C45" s="50">
        <v>0</v>
      </c>
      <c r="D45" s="50">
        <v>0</v>
      </c>
      <c r="E45" s="50">
        <v>0</v>
      </c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>
        <v>150</v>
      </c>
      <c r="C46" s="63">
        <v>150</v>
      </c>
      <c r="D46" s="63">
        <v>150</v>
      </c>
      <c r="E46" s="63">
        <v>150</v>
      </c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1">
        <v>85</v>
      </c>
      <c r="AH46" s="52">
        <f t="shared" si="2"/>
        <v>150</v>
      </c>
      <c r="AI46" s="53">
        <f t="shared" si="3"/>
        <v>150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>SUM(B11:B46)</f>
        <v>451.7</v>
      </c>
      <c r="C48" s="67">
        <f t="shared" ref="C48:AF48" si="4">SUM(C11:C46)</f>
        <v>451.7</v>
      </c>
      <c r="D48" s="67">
        <f t="shared" si="4"/>
        <v>451.7</v>
      </c>
      <c r="E48" s="67">
        <f t="shared" si="4"/>
        <v>451.7</v>
      </c>
      <c r="F48" s="67">
        <f t="shared" si="4"/>
        <v>0</v>
      </c>
      <c r="G48" s="67">
        <f t="shared" si="4"/>
        <v>0</v>
      </c>
      <c r="H48" s="67">
        <f t="shared" si="4"/>
        <v>0</v>
      </c>
      <c r="I48" s="67">
        <f t="shared" si="4"/>
        <v>0</v>
      </c>
      <c r="J48" s="67">
        <f t="shared" si="4"/>
        <v>0</v>
      </c>
      <c r="K48" s="67">
        <f t="shared" si="4"/>
        <v>0</v>
      </c>
      <c r="L48" s="67">
        <f t="shared" si="4"/>
        <v>0</v>
      </c>
      <c r="M48" s="67">
        <f t="shared" si="4"/>
        <v>0</v>
      </c>
      <c r="N48" s="67">
        <f t="shared" si="4"/>
        <v>0</v>
      </c>
      <c r="O48" s="67">
        <f t="shared" si="4"/>
        <v>0</v>
      </c>
      <c r="P48" s="67">
        <f t="shared" si="4"/>
        <v>0</v>
      </c>
      <c r="Q48" s="67">
        <f t="shared" si="4"/>
        <v>0</v>
      </c>
      <c r="R48" s="67">
        <f t="shared" si="4"/>
        <v>0</v>
      </c>
      <c r="S48" s="67">
        <f t="shared" si="4"/>
        <v>0</v>
      </c>
      <c r="T48" s="67">
        <f t="shared" si="4"/>
        <v>0</v>
      </c>
      <c r="U48" s="67">
        <f t="shared" si="4"/>
        <v>0</v>
      </c>
      <c r="V48" s="67">
        <f t="shared" si="4"/>
        <v>0</v>
      </c>
      <c r="W48" s="67">
        <f t="shared" si="4"/>
        <v>0</v>
      </c>
      <c r="X48" s="67">
        <f t="shared" si="4"/>
        <v>0</v>
      </c>
      <c r="Y48" s="67">
        <f t="shared" si="4"/>
        <v>0</v>
      </c>
      <c r="Z48" s="67">
        <f t="shared" si="4"/>
        <v>0</v>
      </c>
      <c r="AA48" s="67">
        <f t="shared" si="4"/>
        <v>0</v>
      </c>
      <c r="AB48" s="67">
        <f t="shared" si="4"/>
        <v>0</v>
      </c>
      <c r="AC48" s="67">
        <f t="shared" si="4"/>
        <v>0</v>
      </c>
      <c r="AD48" s="67">
        <f t="shared" si="4"/>
        <v>0</v>
      </c>
      <c r="AE48" s="67">
        <f t="shared" si="4"/>
        <v>0</v>
      </c>
      <c r="AF48" s="67">
        <f t="shared" si="4"/>
        <v>0</v>
      </c>
      <c r="AG48" s="68">
        <f t="shared" ref="AG48" si="5">SUM(AG12:AG46)</f>
        <v>875.68</v>
      </c>
      <c r="AH48" s="52">
        <f t="shared" si="2"/>
        <v>451.7</v>
      </c>
      <c r="AI48" s="53">
        <f t="shared" si="3"/>
        <v>0</v>
      </c>
      <c r="AK48" s="54"/>
    </row>
    <row r="49" spans="1:41" x14ac:dyDescent="0.25">
      <c r="A49" s="69" t="s">
        <v>57</v>
      </c>
      <c r="B49" s="50">
        <v>90</v>
      </c>
      <c r="C49" s="50">
        <v>170</v>
      </c>
      <c r="D49" s="50">
        <v>110</v>
      </c>
      <c r="E49" s="50">
        <v>180</v>
      </c>
      <c r="F49" s="50"/>
      <c r="G49" s="50"/>
      <c r="H49" s="50"/>
      <c r="I49" s="50"/>
      <c r="J49" s="50"/>
      <c r="K49" s="50"/>
      <c r="L49" s="50"/>
      <c r="M49" s="70"/>
      <c r="N49" s="7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6">
        <v>456</v>
      </c>
      <c r="AH49" s="52">
        <f t="shared" si="2"/>
        <v>180</v>
      </c>
      <c r="AI49" s="53">
        <f t="shared" si="3"/>
        <v>90</v>
      </c>
      <c r="AK49" s="54"/>
    </row>
    <row r="50" spans="1:41" x14ac:dyDescent="0.25">
      <c r="A50" s="71" t="s">
        <v>58</v>
      </c>
      <c r="B50" s="72">
        <v>29</v>
      </c>
      <c r="C50" s="72">
        <v>29</v>
      </c>
      <c r="D50" s="72">
        <v>29</v>
      </c>
      <c r="E50" s="72">
        <v>29</v>
      </c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61">
        <v>60</v>
      </c>
      <c r="AH50" s="52">
        <f t="shared" si="2"/>
        <v>29</v>
      </c>
      <c r="AI50" s="53">
        <f t="shared" si="3"/>
        <v>29</v>
      </c>
      <c r="AK50" s="54"/>
    </row>
    <row r="51" spans="1:41" ht="15.75" thickBot="1" x14ac:dyDescent="0.3">
      <c r="A51" s="73" t="s">
        <v>59</v>
      </c>
      <c r="B51" s="74">
        <v>12.2</v>
      </c>
      <c r="C51" s="74">
        <v>12.2</v>
      </c>
      <c r="D51" s="74">
        <v>12.2</v>
      </c>
      <c r="E51" s="74">
        <v>12.2</v>
      </c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5">
        <v>22.1</v>
      </c>
      <c r="AH51" s="52">
        <f t="shared" si="2"/>
        <v>12.2</v>
      </c>
      <c r="AI51" s="53">
        <f t="shared" si="3"/>
        <v>12.2</v>
      </c>
      <c r="AK51" s="54"/>
    </row>
    <row r="52" spans="1:41" ht="15.75" thickBot="1" x14ac:dyDescent="0.3">
      <c r="A52" s="76" t="s">
        <v>60</v>
      </c>
      <c r="B52" s="67">
        <f t="shared" ref="B52:AG52" si="6">SUM(B49:B51)</f>
        <v>131.19999999999999</v>
      </c>
      <c r="C52" s="67">
        <f t="shared" si="6"/>
        <v>211.2</v>
      </c>
      <c r="D52" s="67">
        <f t="shared" si="6"/>
        <v>151.19999999999999</v>
      </c>
      <c r="E52" s="67">
        <f t="shared" si="6"/>
        <v>221.2</v>
      </c>
      <c r="F52" s="67">
        <f t="shared" si="6"/>
        <v>0</v>
      </c>
      <c r="G52" s="67">
        <f t="shared" si="6"/>
        <v>0</v>
      </c>
      <c r="H52" s="67">
        <f t="shared" si="6"/>
        <v>0</v>
      </c>
      <c r="I52" s="67">
        <f t="shared" si="6"/>
        <v>0</v>
      </c>
      <c r="J52" s="67">
        <f t="shared" si="6"/>
        <v>0</v>
      </c>
      <c r="K52" s="67">
        <f t="shared" si="6"/>
        <v>0</v>
      </c>
      <c r="L52" s="67">
        <f t="shared" si="6"/>
        <v>0</v>
      </c>
      <c r="M52" s="67">
        <f t="shared" si="6"/>
        <v>0</v>
      </c>
      <c r="N52" s="67">
        <f t="shared" si="6"/>
        <v>0</v>
      </c>
      <c r="O52" s="67">
        <f t="shared" si="6"/>
        <v>0</v>
      </c>
      <c r="P52" s="67">
        <f t="shared" si="6"/>
        <v>0</v>
      </c>
      <c r="Q52" s="67">
        <f t="shared" si="6"/>
        <v>0</v>
      </c>
      <c r="R52" s="67">
        <f t="shared" si="6"/>
        <v>0</v>
      </c>
      <c r="S52" s="67">
        <f t="shared" si="6"/>
        <v>0</v>
      </c>
      <c r="T52" s="67">
        <f t="shared" si="6"/>
        <v>0</v>
      </c>
      <c r="U52" s="67">
        <f t="shared" si="6"/>
        <v>0</v>
      </c>
      <c r="V52" s="67">
        <f t="shared" si="6"/>
        <v>0</v>
      </c>
      <c r="W52" s="67">
        <f t="shared" si="6"/>
        <v>0</v>
      </c>
      <c r="X52" s="67">
        <f t="shared" si="6"/>
        <v>0</v>
      </c>
      <c r="Y52" s="67">
        <f t="shared" si="6"/>
        <v>0</v>
      </c>
      <c r="Z52" s="67">
        <f t="shared" si="6"/>
        <v>0</v>
      </c>
      <c r="AA52" s="67">
        <f t="shared" si="6"/>
        <v>0</v>
      </c>
      <c r="AB52" s="67">
        <f t="shared" si="6"/>
        <v>0</v>
      </c>
      <c r="AC52" s="67">
        <f t="shared" si="6"/>
        <v>0</v>
      </c>
      <c r="AD52" s="67">
        <f t="shared" si="6"/>
        <v>0</v>
      </c>
      <c r="AE52" s="67">
        <f t="shared" si="6"/>
        <v>0</v>
      </c>
      <c r="AF52" s="67">
        <f t="shared" si="6"/>
        <v>0</v>
      </c>
      <c r="AG52" s="68">
        <f t="shared" si="6"/>
        <v>538.1</v>
      </c>
      <c r="AH52" s="52">
        <f t="shared" si="2"/>
        <v>221.2</v>
      </c>
      <c r="AI52" s="53">
        <f t="shared" si="3"/>
        <v>0</v>
      </c>
      <c r="AK52" s="54"/>
    </row>
    <row r="53" spans="1:41" x14ac:dyDescent="0.25">
      <c r="A53" s="49" t="s">
        <v>61</v>
      </c>
      <c r="B53" s="50">
        <v>60</v>
      </c>
      <c r="C53" s="50">
        <v>45</v>
      </c>
      <c r="D53" s="50">
        <v>1</v>
      </c>
      <c r="E53" s="50">
        <v>130</v>
      </c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6">
        <v>144</v>
      </c>
      <c r="AH53" s="52">
        <f t="shared" si="2"/>
        <v>130</v>
      </c>
      <c r="AI53" s="53">
        <f t="shared" si="3"/>
        <v>1</v>
      </c>
      <c r="AK53" s="54"/>
    </row>
    <row r="54" spans="1:41" x14ac:dyDescent="0.25">
      <c r="A54" s="60" t="s">
        <v>62</v>
      </c>
      <c r="B54" s="72">
        <v>22</v>
      </c>
      <c r="C54" s="72">
        <v>22</v>
      </c>
      <c r="D54" s="72">
        <v>22</v>
      </c>
      <c r="E54" s="72">
        <v>22</v>
      </c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72"/>
      <c r="AC54" s="72"/>
      <c r="AD54" s="72"/>
      <c r="AE54" s="72"/>
      <c r="AF54" s="72"/>
      <c r="AG54" s="61">
        <v>70</v>
      </c>
      <c r="AH54" s="52">
        <f t="shared" si="2"/>
        <v>22</v>
      </c>
      <c r="AI54" s="53">
        <f t="shared" si="3"/>
        <v>22</v>
      </c>
      <c r="AK54" s="54"/>
    </row>
    <row r="55" spans="1:41" x14ac:dyDescent="0.25">
      <c r="A55" s="60" t="s">
        <v>63</v>
      </c>
      <c r="B55" s="72">
        <v>50</v>
      </c>
      <c r="C55" s="72">
        <v>50</v>
      </c>
      <c r="D55" s="72">
        <v>32</v>
      </c>
      <c r="E55" s="72">
        <v>32</v>
      </c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72"/>
      <c r="AC55" s="72"/>
      <c r="AD55" s="72"/>
      <c r="AE55" s="72"/>
      <c r="AF55" s="72"/>
      <c r="AG55" s="61">
        <v>69</v>
      </c>
      <c r="AH55" s="52">
        <f t="shared" si="2"/>
        <v>50</v>
      </c>
      <c r="AI55" s="53">
        <f t="shared" si="3"/>
        <v>32</v>
      </c>
      <c r="AK55" s="54"/>
    </row>
    <row r="56" spans="1:41" x14ac:dyDescent="0.25">
      <c r="A56" s="60" t="s">
        <v>64</v>
      </c>
      <c r="B56" s="72">
        <v>40</v>
      </c>
      <c r="C56" s="72">
        <v>40</v>
      </c>
      <c r="D56" s="72">
        <v>40</v>
      </c>
      <c r="E56" s="72">
        <v>40</v>
      </c>
      <c r="F56" s="63"/>
      <c r="G56" s="63"/>
      <c r="H56" s="63"/>
      <c r="I56" s="63"/>
      <c r="J56" s="63"/>
      <c r="K56" s="63"/>
      <c r="L56" s="63"/>
      <c r="M56" s="72"/>
      <c r="N56" s="72"/>
      <c r="O56" s="72"/>
      <c r="P56" s="72"/>
      <c r="Q56" s="72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72"/>
      <c r="AC56" s="72"/>
      <c r="AD56" s="72"/>
      <c r="AE56" s="72"/>
      <c r="AF56" s="72"/>
      <c r="AG56" s="61">
        <v>60</v>
      </c>
      <c r="AH56" s="52">
        <f t="shared" si="2"/>
        <v>40</v>
      </c>
      <c r="AI56" s="53">
        <f t="shared" si="3"/>
        <v>40</v>
      </c>
      <c r="AK56" s="54"/>
    </row>
    <row r="57" spans="1:41" x14ac:dyDescent="0.25">
      <c r="A57" s="60" t="s">
        <v>65</v>
      </c>
      <c r="B57" s="72">
        <v>12</v>
      </c>
      <c r="C57" s="72">
        <v>12</v>
      </c>
      <c r="D57" s="72">
        <v>12</v>
      </c>
      <c r="E57" s="72">
        <v>12</v>
      </c>
      <c r="F57" s="63"/>
      <c r="G57" s="63"/>
      <c r="H57" s="63"/>
      <c r="I57" s="63"/>
      <c r="J57" s="63"/>
      <c r="K57" s="63"/>
      <c r="L57" s="63"/>
      <c r="M57" s="72"/>
      <c r="N57" s="72"/>
      <c r="O57" s="72"/>
      <c r="P57" s="72"/>
      <c r="Q57" s="72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72"/>
      <c r="AC57" s="72"/>
      <c r="AD57" s="72"/>
      <c r="AE57" s="72"/>
      <c r="AF57" s="72"/>
      <c r="AG57" s="61">
        <v>30</v>
      </c>
      <c r="AH57" s="52">
        <f t="shared" si="2"/>
        <v>12</v>
      </c>
      <c r="AI57" s="53">
        <f t="shared" si="3"/>
        <v>12</v>
      </c>
      <c r="AK57" s="54"/>
    </row>
    <row r="58" spans="1:41" x14ac:dyDescent="0.25">
      <c r="A58" s="60" t="s">
        <v>66</v>
      </c>
      <c r="B58" s="72">
        <v>0</v>
      </c>
      <c r="C58" s="72">
        <v>0</v>
      </c>
      <c r="D58" s="72">
        <v>0</v>
      </c>
      <c r="E58" s="72">
        <v>0</v>
      </c>
      <c r="F58" s="50"/>
      <c r="G58" s="50"/>
      <c r="H58" s="50"/>
      <c r="I58" s="50"/>
      <c r="J58" s="50"/>
      <c r="K58" s="50"/>
      <c r="L58" s="50"/>
      <c r="M58" s="72"/>
      <c r="N58" s="72"/>
      <c r="O58" s="72"/>
      <c r="P58" s="72"/>
      <c r="Q58" s="72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72"/>
      <c r="AC58" s="72"/>
      <c r="AD58" s="72"/>
      <c r="AE58" s="72"/>
      <c r="AF58" s="72"/>
      <c r="AG58" s="61">
        <v>25</v>
      </c>
      <c r="AH58" s="52">
        <f t="shared" si="2"/>
        <v>0</v>
      </c>
      <c r="AI58" s="53">
        <f t="shared" si="3"/>
        <v>0</v>
      </c>
      <c r="AK58" s="54"/>
    </row>
    <row r="59" spans="1:41" x14ac:dyDescent="0.25">
      <c r="A59" s="60" t="s">
        <v>67</v>
      </c>
      <c r="B59" s="72">
        <v>14</v>
      </c>
      <c r="C59" s="72">
        <v>14</v>
      </c>
      <c r="D59" s="72">
        <v>14</v>
      </c>
      <c r="E59" s="72">
        <v>14</v>
      </c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61">
        <v>24</v>
      </c>
      <c r="AH59" s="52">
        <f t="shared" si="2"/>
        <v>14</v>
      </c>
      <c r="AI59" s="53">
        <f t="shared" si="3"/>
        <v>14</v>
      </c>
      <c r="AK59" s="54"/>
    </row>
    <row r="60" spans="1:41" x14ac:dyDescent="0.25">
      <c r="A60" s="60" t="s">
        <v>68</v>
      </c>
      <c r="B60" s="72">
        <v>0</v>
      </c>
      <c r="C60" s="72">
        <v>0</v>
      </c>
      <c r="D60" s="72">
        <v>0</v>
      </c>
      <c r="E60" s="72">
        <v>0</v>
      </c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>
        <v>9.6</v>
      </c>
      <c r="C61" s="72">
        <v>9.6</v>
      </c>
      <c r="D61" s="72">
        <v>9.6</v>
      </c>
      <c r="E61" s="72">
        <v>9.6</v>
      </c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61">
        <v>14.1</v>
      </c>
      <c r="AH61" s="52">
        <f t="shared" si="2"/>
        <v>9.6</v>
      </c>
      <c r="AI61" s="53">
        <f t="shared" si="3"/>
        <v>9.6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>
        <v>6</v>
      </c>
      <c r="C62" s="72">
        <v>6</v>
      </c>
      <c r="D62" s="72">
        <v>6</v>
      </c>
      <c r="E62" s="72">
        <v>6</v>
      </c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61">
        <v>14</v>
      </c>
      <c r="AH62" s="52">
        <f t="shared" si="2"/>
        <v>6</v>
      </c>
      <c r="AI62" s="53">
        <f t="shared" si="3"/>
        <v>6</v>
      </c>
      <c r="AK62" s="54"/>
    </row>
    <row r="63" spans="1:41" x14ac:dyDescent="0.25">
      <c r="A63" s="60" t="s">
        <v>71</v>
      </c>
      <c r="B63" s="72">
        <v>4</v>
      </c>
      <c r="C63" s="72">
        <v>4</v>
      </c>
      <c r="D63" s="72">
        <v>4</v>
      </c>
      <c r="E63" s="72">
        <v>4</v>
      </c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61">
        <v>10.050000000000001</v>
      </c>
      <c r="AH63" s="52">
        <f t="shared" si="2"/>
        <v>4</v>
      </c>
      <c r="AI63" s="53">
        <f t="shared" si="3"/>
        <v>4</v>
      </c>
      <c r="AK63" s="54"/>
    </row>
    <row r="64" spans="1:41" x14ac:dyDescent="0.25">
      <c r="A64" s="60" t="s">
        <v>72</v>
      </c>
      <c r="B64" s="72">
        <v>2</v>
      </c>
      <c r="C64" s="72">
        <v>2</v>
      </c>
      <c r="D64" s="72">
        <v>2</v>
      </c>
      <c r="E64" s="72">
        <v>2</v>
      </c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61">
        <v>6.2</v>
      </c>
      <c r="AH64" s="52">
        <f t="shared" si="2"/>
        <v>2</v>
      </c>
      <c r="AI64" s="53">
        <f t="shared" si="3"/>
        <v>2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:AG66" si="7">SUM(B53:B65)</f>
        <v>223.14</v>
      </c>
      <c r="C66" s="67">
        <f t="shared" si="7"/>
        <v>208.14</v>
      </c>
      <c r="D66" s="67">
        <f t="shared" si="7"/>
        <v>146.13999999999999</v>
      </c>
      <c r="E66" s="67">
        <f t="shared" si="7"/>
        <v>275.14000000000004</v>
      </c>
      <c r="F66" s="67">
        <f t="shared" si="7"/>
        <v>3.54</v>
      </c>
      <c r="G66" s="67">
        <f t="shared" si="7"/>
        <v>3.54</v>
      </c>
      <c r="H66" s="67">
        <f t="shared" si="7"/>
        <v>3.54</v>
      </c>
      <c r="I66" s="67">
        <f t="shared" si="7"/>
        <v>3.54</v>
      </c>
      <c r="J66" s="67">
        <f t="shared" si="7"/>
        <v>3.54</v>
      </c>
      <c r="K66" s="67">
        <f t="shared" si="7"/>
        <v>3.54</v>
      </c>
      <c r="L66" s="67">
        <f t="shared" si="7"/>
        <v>3.54</v>
      </c>
      <c r="M66" s="67">
        <f t="shared" si="7"/>
        <v>3.54</v>
      </c>
      <c r="N66" s="67">
        <f t="shared" si="7"/>
        <v>3.54</v>
      </c>
      <c r="O66" s="67">
        <f t="shared" si="7"/>
        <v>3.54</v>
      </c>
      <c r="P66" s="67">
        <f t="shared" si="7"/>
        <v>3.54</v>
      </c>
      <c r="Q66" s="67">
        <f t="shared" si="7"/>
        <v>3.54</v>
      </c>
      <c r="R66" s="67">
        <f t="shared" si="7"/>
        <v>3.54</v>
      </c>
      <c r="S66" s="67">
        <f t="shared" si="7"/>
        <v>3.54</v>
      </c>
      <c r="T66" s="67">
        <f t="shared" si="7"/>
        <v>3.54</v>
      </c>
      <c r="U66" s="67">
        <f t="shared" si="7"/>
        <v>3.54</v>
      </c>
      <c r="V66" s="67">
        <f t="shared" si="7"/>
        <v>3.54</v>
      </c>
      <c r="W66" s="67">
        <f t="shared" si="7"/>
        <v>3.54</v>
      </c>
      <c r="X66" s="67">
        <f t="shared" si="7"/>
        <v>3.54</v>
      </c>
      <c r="Y66" s="67">
        <f t="shared" si="7"/>
        <v>3.54</v>
      </c>
      <c r="Z66" s="67">
        <f t="shared" si="7"/>
        <v>3.54</v>
      </c>
      <c r="AA66" s="67">
        <f t="shared" si="7"/>
        <v>3.54</v>
      </c>
      <c r="AB66" s="67">
        <f t="shared" si="7"/>
        <v>3.54</v>
      </c>
      <c r="AC66" s="67">
        <f t="shared" si="7"/>
        <v>3.54</v>
      </c>
      <c r="AD66" s="67">
        <f t="shared" si="7"/>
        <v>3.54</v>
      </c>
      <c r="AE66" s="67">
        <f t="shared" si="7"/>
        <v>3.54</v>
      </c>
      <c r="AF66" s="67">
        <f t="shared" si="7"/>
        <v>3.54</v>
      </c>
      <c r="AG66" s="68">
        <f t="shared" si="7"/>
        <v>489.91</v>
      </c>
      <c r="AH66" s="52">
        <f t="shared" si="2"/>
        <v>275.14000000000004</v>
      </c>
      <c r="AI66" s="53">
        <f t="shared" si="3"/>
        <v>3.54</v>
      </c>
      <c r="AK66" s="54"/>
    </row>
    <row r="67" spans="1:40" x14ac:dyDescent="0.25">
      <c r="A67" s="49" t="s">
        <v>75</v>
      </c>
      <c r="B67" s="50">
        <v>60</v>
      </c>
      <c r="C67" s="50">
        <v>60</v>
      </c>
      <c r="D67" s="50">
        <v>60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6">
        <v>60</v>
      </c>
      <c r="AH67" s="52">
        <f t="shared" si="2"/>
        <v>60</v>
      </c>
      <c r="AI67" s="53">
        <f t="shared" si="3"/>
        <v>60</v>
      </c>
      <c r="AK67" s="54"/>
    </row>
    <row r="68" spans="1:40" x14ac:dyDescent="0.25">
      <c r="A68" s="60" t="s">
        <v>76</v>
      </c>
      <c r="B68" s="72">
        <v>29</v>
      </c>
      <c r="C68" s="72">
        <v>29</v>
      </c>
      <c r="D68" s="72">
        <v>29</v>
      </c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50"/>
      <c r="R68" s="50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50"/>
      <c r="AG68" s="61">
        <v>32</v>
      </c>
      <c r="AH68" s="52">
        <f t="shared" si="2"/>
        <v>29</v>
      </c>
      <c r="AI68" s="53">
        <f t="shared" si="3"/>
        <v>29</v>
      </c>
      <c r="AK68" s="54"/>
    </row>
    <row r="69" spans="1:40" ht="15.75" thickBot="1" x14ac:dyDescent="0.3">
      <c r="A69" s="78" t="s">
        <v>77</v>
      </c>
      <c r="B69" s="74">
        <v>10.6</v>
      </c>
      <c r="C69" s="74">
        <v>10.6</v>
      </c>
      <c r="D69" s="74">
        <v>10.6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50"/>
      <c r="R69" s="50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50"/>
      <c r="AG69" s="75">
        <v>14</v>
      </c>
      <c r="AH69" s="52">
        <f t="shared" si="2"/>
        <v>10.6</v>
      </c>
      <c r="AI69" s="53">
        <f t="shared" si="3"/>
        <v>10.6</v>
      </c>
      <c r="AK69" s="54"/>
    </row>
    <row r="70" spans="1:40" ht="15.75" thickBot="1" x14ac:dyDescent="0.3">
      <c r="A70" s="81" t="s">
        <v>78</v>
      </c>
      <c r="B70" s="67">
        <f>B67+B68+B69</f>
        <v>99.6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0</v>
      </c>
      <c r="M70" s="67">
        <f t="shared" ref="M70:AF70" si="8">M67+M68+M69</f>
        <v>0</v>
      </c>
      <c r="N70" s="67">
        <f t="shared" si="8"/>
        <v>0</v>
      </c>
      <c r="O70" s="67">
        <f t="shared" si="8"/>
        <v>0</v>
      </c>
      <c r="P70" s="67">
        <f t="shared" si="8"/>
        <v>0</v>
      </c>
      <c r="Q70" s="67">
        <f t="shared" si="8"/>
        <v>0</v>
      </c>
      <c r="R70" s="67">
        <f t="shared" si="8"/>
        <v>0</v>
      </c>
      <c r="S70" s="67">
        <f t="shared" si="8"/>
        <v>0</v>
      </c>
      <c r="T70" s="67">
        <f t="shared" si="8"/>
        <v>0</v>
      </c>
      <c r="U70" s="67">
        <f t="shared" si="8"/>
        <v>0</v>
      </c>
      <c r="V70" s="67">
        <f t="shared" si="8"/>
        <v>0</v>
      </c>
      <c r="W70" s="67">
        <f t="shared" si="8"/>
        <v>0</v>
      </c>
      <c r="X70" s="67">
        <f t="shared" si="8"/>
        <v>0</v>
      </c>
      <c r="Y70" s="67">
        <f t="shared" si="8"/>
        <v>0</v>
      </c>
      <c r="Z70" s="67">
        <f t="shared" si="8"/>
        <v>0</v>
      </c>
      <c r="AA70" s="67">
        <f t="shared" si="8"/>
        <v>0</v>
      </c>
      <c r="AB70" s="67">
        <f t="shared" si="8"/>
        <v>0</v>
      </c>
      <c r="AC70" s="67">
        <f t="shared" si="8"/>
        <v>0</v>
      </c>
      <c r="AD70" s="67">
        <f t="shared" si="8"/>
        <v>0</v>
      </c>
      <c r="AE70" s="67">
        <f t="shared" si="8"/>
        <v>0</v>
      </c>
      <c r="AF70" s="67">
        <f t="shared" si="8"/>
        <v>0</v>
      </c>
      <c r="AG70" s="68">
        <f>SUM(AG67:AG69)</f>
        <v>106</v>
      </c>
      <c r="AH70" s="52">
        <f t="shared" si="2"/>
        <v>99.6</v>
      </c>
      <c r="AI70" s="53">
        <f t="shared" si="3"/>
        <v>0</v>
      </c>
      <c r="AK70" s="54"/>
    </row>
    <row r="71" spans="1:40" x14ac:dyDescent="0.25">
      <c r="A71" s="49" t="s">
        <v>79</v>
      </c>
      <c r="B71" s="50">
        <v>67</v>
      </c>
      <c r="C71" s="50">
        <v>65</v>
      </c>
      <c r="D71" s="50">
        <v>73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6"/>
      <c r="AH71" s="52">
        <f t="shared" si="2"/>
        <v>73</v>
      </c>
      <c r="AI71" s="53">
        <f t="shared" si="3"/>
        <v>65</v>
      </c>
      <c r="AK71" s="54"/>
    </row>
    <row r="72" spans="1:40" x14ac:dyDescent="0.25">
      <c r="A72" s="60" t="s">
        <v>80</v>
      </c>
      <c r="B72" s="72">
        <v>0</v>
      </c>
      <c r="C72" s="72">
        <v>0</v>
      </c>
      <c r="D72" s="72">
        <v>0</v>
      </c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81</v>
      </c>
      <c r="B73" s="72">
        <v>380</v>
      </c>
      <c r="C73" s="72">
        <v>300</v>
      </c>
      <c r="D73" s="72">
        <v>365</v>
      </c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82"/>
      <c r="AH73" s="52">
        <f t="shared" si="2"/>
        <v>380</v>
      </c>
      <c r="AI73" s="53">
        <f t="shared" si="3"/>
        <v>300</v>
      </c>
      <c r="AK73" s="54"/>
    </row>
    <row r="74" spans="1:40" x14ac:dyDescent="0.25">
      <c r="A74" s="60" t="s">
        <v>82</v>
      </c>
      <c r="B74" s="72">
        <v>62</v>
      </c>
      <c r="C74" s="72">
        <v>60</v>
      </c>
      <c r="D74" s="72">
        <v>0</v>
      </c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72"/>
      <c r="Z74" s="72"/>
      <c r="AA74" s="72"/>
      <c r="AB74" s="72"/>
      <c r="AC74" s="72"/>
      <c r="AD74" s="72"/>
      <c r="AE74" s="72"/>
      <c r="AF74" s="72"/>
      <c r="AG74" s="82"/>
      <c r="AH74" s="52">
        <f t="shared" si="2"/>
        <v>62</v>
      </c>
      <c r="AI74" s="53">
        <f t="shared" si="3"/>
        <v>0</v>
      </c>
      <c r="AK74" s="54"/>
    </row>
    <row r="75" spans="1:40" x14ac:dyDescent="0.25">
      <c r="A75" s="60" t="s">
        <v>83</v>
      </c>
      <c r="B75" s="50">
        <v>25</v>
      </c>
      <c r="C75" s="50">
        <v>24</v>
      </c>
      <c r="D75" s="50">
        <v>23.4</v>
      </c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82"/>
      <c r="AH75" s="52">
        <f t="shared" ref="AH75:AH117" si="9">MAX(B75:AF75)</f>
        <v>25</v>
      </c>
      <c r="AI75" s="53">
        <f t="shared" ref="AI75:AI117" si="10">MIN(B75:AF75)</f>
        <v>23.4</v>
      </c>
      <c r="AK75" s="54"/>
    </row>
    <row r="76" spans="1:40" x14ac:dyDescent="0.25">
      <c r="A76" s="60" t="s">
        <v>84</v>
      </c>
      <c r="B76" s="84">
        <v>8</v>
      </c>
      <c r="C76" s="84">
        <v>8</v>
      </c>
      <c r="D76" s="84">
        <v>8</v>
      </c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2"/>
      <c r="AH76" s="52">
        <f t="shared" si="9"/>
        <v>8</v>
      </c>
      <c r="AI76" s="53">
        <f t="shared" si="10"/>
        <v>8</v>
      </c>
      <c r="AK76" s="54"/>
    </row>
    <row r="77" spans="1:40" ht="15.75" thickBot="1" x14ac:dyDescent="0.3">
      <c r="A77" s="60" t="s">
        <v>85</v>
      </c>
      <c r="B77" s="84">
        <v>7</v>
      </c>
      <c r="C77" s="84">
        <v>7</v>
      </c>
      <c r="D77" s="84">
        <v>7</v>
      </c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2"/>
      <c r="AH77" s="52">
        <f t="shared" si="9"/>
        <v>7</v>
      </c>
      <c r="AI77" s="53">
        <f t="shared" si="10"/>
        <v>7</v>
      </c>
      <c r="AK77" s="54"/>
      <c r="AL77" s="85" t="s">
        <v>86</v>
      </c>
      <c r="AM77" s="85"/>
    </row>
    <row r="78" spans="1:40" x14ac:dyDescent="0.25">
      <c r="A78" s="60" t="s">
        <v>87</v>
      </c>
      <c r="B78" s="84">
        <v>0</v>
      </c>
      <c r="C78" s="84">
        <v>0</v>
      </c>
      <c r="D78" s="84">
        <v>0</v>
      </c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2"/>
      <c r="AH78" s="52">
        <f t="shared" si="9"/>
        <v>0</v>
      </c>
      <c r="AI78" s="53">
        <f t="shared" si="10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>
        <v>7</v>
      </c>
      <c r="C79" s="84">
        <v>7</v>
      </c>
      <c r="D79" s="84">
        <v>7</v>
      </c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2"/>
      <c r="AH79" s="52">
        <f t="shared" si="9"/>
        <v>7</v>
      </c>
      <c r="AI79" s="53">
        <f t="shared" si="10"/>
        <v>7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>
        <v>0</v>
      </c>
      <c r="C80" s="84">
        <v>0</v>
      </c>
      <c r="D80" s="84">
        <v>0</v>
      </c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92"/>
      <c r="AH80" s="52">
        <f t="shared" si="9"/>
        <v>0</v>
      </c>
      <c r="AI80" s="53">
        <f t="shared" si="10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>
        <v>0</v>
      </c>
      <c r="C81" s="84">
        <v>0</v>
      </c>
      <c r="D81" s="84">
        <v>0</v>
      </c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92"/>
      <c r="AH81" s="52">
        <f t="shared" si="9"/>
        <v>0</v>
      </c>
      <c r="AI81" s="53">
        <f t="shared" si="10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:AF82" si="11">SUMIF(B71:B81,"&gt;0")</f>
        <v>556</v>
      </c>
      <c r="C82" s="67">
        <f t="shared" si="11"/>
        <v>471</v>
      </c>
      <c r="D82" s="67">
        <f t="shared" si="11"/>
        <v>483.4</v>
      </c>
      <c r="E82" s="67">
        <f t="shared" si="11"/>
        <v>0</v>
      </c>
      <c r="F82" s="67">
        <f t="shared" si="11"/>
        <v>0</v>
      </c>
      <c r="G82" s="67">
        <f t="shared" si="11"/>
        <v>0</v>
      </c>
      <c r="H82" s="67">
        <f t="shared" si="11"/>
        <v>0</v>
      </c>
      <c r="I82" s="67">
        <f t="shared" si="11"/>
        <v>0</v>
      </c>
      <c r="J82" s="67">
        <f t="shared" si="11"/>
        <v>0</v>
      </c>
      <c r="K82" s="67">
        <f t="shared" si="11"/>
        <v>0</v>
      </c>
      <c r="L82" s="67">
        <f t="shared" si="11"/>
        <v>0</v>
      </c>
      <c r="M82" s="67">
        <f t="shared" si="11"/>
        <v>0</v>
      </c>
      <c r="N82" s="67">
        <f t="shared" si="11"/>
        <v>0</v>
      </c>
      <c r="O82" s="67">
        <f t="shared" si="11"/>
        <v>0</v>
      </c>
      <c r="P82" s="67">
        <f t="shared" si="11"/>
        <v>0</v>
      </c>
      <c r="Q82" s="67">
        <f t="shared" si="11"/>
        <v>0</v>
      </c>
      <c r="R82" s="67">
        <f t="shared" si="11"/>
        <v>0</v>
      </c>
      <c r="S82" s="67">
        <f t="shared" si="11"/>
        <v>0</v>
      </c>
      <c r="T82" s="67">
        <f t="shared" si="11"/>
        <v>0</v>
      </c>
      <c r="U82" s="67">
        <f t="shared" si="11"/>
        <v>0</v>
      </c>
      <c r="V82" s="67">
        <f t="shared" si="11"/>
        <v>0</v>
      </c>
      <c r="W82" s="67">
        <f t="shared" si="11"/>
        <v>0</v>
      </c>
      <c r="X82" s="67">
        <f t="shared" si="11"/>
        <v>0</v>
      </c>
      <c r="Y82" s="67">
        <f t="shared" si="11"/>
        <v>0</v>
      </c>
      <c r="Z82" s="67">
        <f t="shared" si="11"/>
        <v>0</v>
      </c>
      <c r="AA82" s="67">
        <f t="shared" si="11"/>
        <v>0</v>
      </c>
      <c r="AB82" s="67">
        <f t="shared" si="11"/>
        <v>0</v>
      </c>
      <c r="AC82" s="67">
        <f t="shared" si="11"/>
        <v>0</v>
      </c>
      <c r="AD82" s="67">
        <f t="shared" si="11"/>
        <v>0</v>
      </c>
      <c r="AE82" s="67">
        <f t="shared" si="11"/>
        <v>0</v>
      </c>
      <c r="AF82" s="67">
        <f t="shared" si="11"/>
        <v>0</v>
      </c>
      <c r="AG82" s="95">
        <f>SUM(AG71:AG81)</f>
        <v>0</v>
      </c>
      <c r="AH82" s="52">
        <f t="shared" si="9"/>
        <v>556</v>
      </c>
      <c r="AI82" s="53">
        <f t="shared" si="10"/>
        <v>0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9"/>
        <v>0</v>
      </c>
      <c r="AI83" s="53">
        <f t="shared" si="10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9"/>
        <v>0</v>
      </c>
      <c r="AI84" s="53">
        <f t="shared" si="10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9"/>
        <v>0</v>
      </c>
      <c r="AI85" s="53">
        <f t="shared" si="10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9"/>
        <v>0</v>
      </c>
      <c r="AI86" s="53">
        <f t="shared" si="10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:AG87" si="12">B48+B52+B70+B66+B82+B86</f>
        <v>1461.6399999999999</v>
      </c>
      <c r="C87" s="102">
        <f t="shared" si="12"/>
        <v>1342.04</v>
      </c>
      <c r="D87" s="102">
        <f t="shared" si="12"/>
        <v>1232.44</v>
      </c>
      <c r="E87" s="102">
        <f t="shared" si="12"/>
        <v>948.04</v>
      </c>
      <c r="F87" s="102">
        <f t="shared" si="12"/>
        <v>3.54</v>
      </c>
      <c r="G87" s="102">
        <f t="shared" si="12"/>
        <v>3.54</v>
      </c>
      <c r="H87" s="102">
        <f t="shared" si="12"/>
        <v>3.54</v>
      </c>
      <c r="I87" s="102">
        <f t="shared" si="12"/>
        <v>3.54</v>
      </c>
      <c r="J87" s="102">
        <f t="shared" si="12"/>
        <v>3.54</v>
      </c>
      <c r="K87" s="102">
        <f t="shared" si="12"/>
        <v>3.54</v>
      </c>
      <c r="L87" s="102">
        <f t="shared" si="12"/>
        <v>3.54</v>
      </c>
      <c r="M87" s="102">
        <f t="shared" si="12"/>
        <v>3.54</v>
      </c>
      <c r="N87" s="102">
        <f t="shared" si="12"/>
        <v>3.54</v>
      </c>
      <c r="O87" s="102">
        <f t="shared" si="12"/>
        <v>3.54</v>
      </c>
      <c r="P87" s="102">
        <f t="shared" si="12"/>
        <v>3.54</v>
      </c>
      <c r="Q87" s="102">
        <f t="shared" si="12"/>
        <v>3.54</v>
      </c>
      <c r="R87" s="102">
        <f t="shared" si="12"/>
        <v>3.54</v>
      </c>
      <c r="S87" s="102">
        <f t="shared" si="12"/>
        <v>3.54</v>
      </c>
      <c r="T87" s="102">
        <f t="shared" si="12"/>
        <v>3.54</v>
      </c>
      <c r="U87" s="102">
        <f t="shared" si="12"/>
        <v>3.54</v>
      </c>
      <c r="V87" s="102">
        <f t="shared" si="12"/>
        <v>3.54</v>
      </c>
      <c r="W87" s="102">
        <f t="shared" si="12"/>
        <v>3.54</v>
      </c>
      <c r="X87" s="102">
        <f t="shared" si="12"/>
        <v>3.54</v>
      </c>
      <c r="Y87" s="102">
        <f t="shared" si="12"/>
        <v>3.54</v>
      </c>
      <c r="Z87" s="102">
        <f t="shared" si="12"/>
        <v>3.54</v>
      </c>
      <c r="AA87" s="102">
        <f t="shared" si="12"/>
        <v>3.54</v>
      </c>
      <c r="AB87" s="102">
        <f t="shared" si="12"/>
        <v>3.54</v>
      </c>
      <c r="AC87" s="102">
        <f t="shared" si="12"/>
        <v>3.54</v>
      </c>
      <c r="AD87" s="102">
        <f t="shared" si="12"/>
        <v>3.54</v>
      </c>
      <c r="AE87" s="102">
        <f t="shared" si="12"/>
        <v>3.54</v>
      </c>
      <c r="AF87" s="102">
        <f t="shared" si="12"/>
        <v>3.54</v>
      </c>
      <c r="AG87" s="68">
        <f t="shared" si="12"/>
        <v>2065.09</v>
      </c>
      <c r="AH87" s="52">
        <f>MAX(B87:AF87)</f>
        <v>1461.6399999999999</v>
      </c>
      <c r="AI87" s="53">
        <f>MIN(B87:AF87)</f>
        <v>3.54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95"/>
      <c r="AH88" s="52">
        <f t="shared" si="9"/>
        <v>0</v>
      </c>
      <c r="AI88" s="53">
        <f t="shared" si="10"/>
        <v>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:AF89" si="13">B87+B88</f>
        <v>1461.6399999999999</v>
      </c>
      <c r="C89" s="102">
        <f t="shared" si="13"/>
        <v>1342.04</v>
      </c>
      <c r="D89" s="102">
        <f t="shared" si="13"/>
        <v>1232.44</v>
      </c>
      <c r="E89" s="102">
        <f t="shared" si="13"/>
        <v>948.04</v>
      </c>
      <c r="F89" s="102">
        <f t="shared" si="13"/>
        <v>3.54</v>
      </c>
      <c r="G89" s="102">
        <f t="shared" si="13"/>
        <v>3.54</v>
      </c>
      <c r="H89" s="102">
        <f t="shared" si="13"/>
        <v>3.54</v>
      </c>
      <c r="I89" s="102">
        <f t="shared" si="13"/>
        <v>3.54</v>
      </c>
      <c r="J89" s="102">
        <f t="shared" si="13"/>
        <v>3.54</v>
      </c>
      <c r="K89" s="102">
        <f t="shared" si="13"/>
        <v>3.54</v>
      </c>
      <c r="L89" s="102">
        <f t="shared" si="13"/>
        <v>3.54</v>
      </c>
      <c r="M89" s="102">
        <f t="shared" si="13"/>
        <v>3.54</v>
      </c>
      <c r="N89" s="102">
        <f t="shared" si="13"/>
        <v>3.54</v>
      </c>
      <c r="O89" s="102">
        <f t="shared" si="13"/>
        <v>3.54</v>
      </c>
      <c r="P89" s="102">
        <f t="shared" si="13"/>
        <v>3.54</v>
      </c>
      <c r="Q89" s="102">
        <f t="shared" si="13"/>
        <v>3.54</v>
      </c>
      <c r="R89" s="102">
        <f t="shared" si="13"/>
        <v>3.54</v>
      </c>
      <c r="S89" s="102">
        <f t="shared" si="13"/>
        <v>3.54</v>
      </c>
      <c r="T89" s="102">
        <f t="shared" si="13"/>
        <v>3.54</v>
      </c>
      <c r="U89" s="102">
        <f t="shared" si="13"/>
        <v>3.54</v>
      </c>
      <c r="V89" s="102">
        <f t="shared" si="13"/>
        <v>3.54</v>
      </c>
      <c r="W89" s="102">
        <f t="shared" si="13"/>
        <v>3.54</v>
      </c>
      <c r="X89" s="102">
        <f t="shared" si="13"/>
        <v>3.54</v>
      </c>
      <c r="Y89" s="102">
        <f t="shared" si="13"/>
        <v>3.54</v>
      </c>
      <c r="Z89" s="102">
        <f t="shared" si="13"/>
        <v>3.54</v>
      </c>
      <c r="AA89" s="102">
        <f t="shared" si="13"/>
        <v>3.54</v>
      </c>
      <c r="AB89" s="102">
        <f t="shared" si="13"/>
        <v>3.54</v>
      </c>
      <c r="AC89" s="102">
        <f t="shared" si="13"/>
        <v>3.54</v>
      </c>
      <c r="AD89" s="102">
        <f t="shared" si="13"/>
        <v>3.54</v>
      </c>
      <c r="AE89" s="102">
        <f t="shared" si="13"/>
        <v>3.54</v>
      </c>
      <c r="AF89" s="102">
        <f t="shared" si="13"/>
        <v>3.54</v>
      </c>
      <c r="AG89" s="95">
        <f>AG86+AG82+AG70+AG66+AG48+AG88</f>
        <v>1526.99</v>
      </c>
      <c r="AH89" s="52">
        <f t="shared" si="9"/>
        <v>1461.6399999999999</v>
      </c>
      <c r="AI89" s="53">
        <f t="shared" si="10"/>
        <v>3.54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:AF90" si="14">B89-B97</f>
        <v>1461.6399999999999</v>
      </c>
      <c r="C90" s="102">
        <f t="shared" si="14"/>
        <v>1342.04</v>
      </c>
      <c r="D90" s="102">
        <f t="shared" si="14"/>
        <v>1232.44</v>
      </c>
      <c r="E90" s="102">
        <f t="shared" si="14"/>
        <v>948.04</v>
      </c>
      <c r="F90" s="102">
        <f t="shared" si="14"/>
        <v>3.54</v>
      </c>
      <c r="G90" s="102">
        <f t="shared" si="14"/>
        <v>3.54</v>
      </c>
      <c r="H90" s="102">
        <f t="shared" si="14"/>
        <v>3.54</v>
      </c>
      <c r="I90" s="102">
        <f t="shared" si="14"/>
        <v>3.54</v>
      </c>
      <c r="J90" s="102">
        <f t="shared" si="14"/>
        <v>3.54</v>
      </c>
      <c r="K90" s="102">
        <f t="shared" si="14"/>
        <v>3.54</v>
      </c>
      <c r="L90" s="102">
        <f t="shared" si="14"/>
        <v>3.54</v>
      </c>
      <c r="M90" s="102">
        <f t="shared" si="14"/>
        <v>3.54</v>
      </c>
      <c r="N90" s="102">
        <f t="shared" si="14"/>
        <v>3.54</v>
      </c>
      <c r="O90" s="102">
        <f t="shared" si="14"/>
        <v>3.54</v>
      </c>
      <c r="P90" s="102">
        <f t="shared" si="14"/>
        <v>3.54</v>
      </c>
      <c r="Q90" s="102">
        <f t="shared" si="14"/>
        <v>3.54</v>
      </c>
      <c r="R90" s="102">
        <f t="shared" si="14"/>
        <v>3.54</v>
      </c>
      <c r="S90" s="102">
        <f t="shared" si="14"/>
        <v>3.54</v>
      </c>
      <c r="T90" s="102">
        <f t="shared" si="14"/>
        <v>3.54</v>
      </c>
      <c r="U90" s="102">
        <f t="shared" si="14"/>
        <v>3.54</v>
      </c>
      <c r="V90" s="102">
        <f t="shared" si="14"/>
        <v>3.54</v>
      </c>
      <c r="W90" s="102">
        <f t="shared" si="14"/>
        <v>3.54</v>
      </c>
      <c r="X90" s="102">
        <f t="shared" si="14"/>
        <v>3.54</v>
      </c>
      <c r="Y90" s="102">
        <f t="shared" si="14"/>
        <v>3.54</v>
      </c>
      <c r="Z90" s="102">
        <f t="shared" si="14"/>
        <v>3.54</v>
      </c>
      <c r="AA90" s="102">
        <f t="shared" si="14"/>
        <v>3.54</v>
      </c>
      <c r="AB90" s="102">
        <f t="shared" si="14"/>
        <v>3.54</v>
      </c>
      <c r="AC90" s="102">
        <f t="shared" si="14"/>
        <v>3.54</v>
      </c>
      <c r="AD90" s="102">
        <f t="shared" si="14"/>
        <v>3.54</v>
      </c>
      <c r="AE90" s="102">
        <f t="shared" si="14"/>
        <v>3.54</v>
      </c>
      <c r="AF90" s="102">
        <f t="shared" si="14"/>
        <v>3.54</v>
      </c>
      <c r="AG90" s="95"/>
      <c r="AH90" s="52">
        <f t="shared" si="9"/>
        <v>1461.6399999999999</v>
      </c>
      <c r="AI90" s="53">
        <f t="shared" si="10"/>
        <v>3.54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9"/>
        <v>0</v>
      </c>
      <c r="AI91" s="53">
        <f t="shared" si="10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9"/>
        <v>0</v>
      </c>
      <c r="AI92" s="53">
        <f t="shared" si="10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9"/>
        <v>0</v>
      </c>
      <c r="AI93" s="53">
        <f t="shared" si="10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9"/>
        <v>0</v>
      </c>
      <c r="AI94" s="53">
        <f t="shared" si="10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9"/>
        <v>0</v>
      </c>
      <c r="AI95" s="53">
        <f t="shared" si="10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9"/>
        <v>0</v>
      </c>
      <c r="AI96" s="53">
        <f t="shared" si="10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9"/>
        <v>0</v>
      </c>
      <c r="AI97" s="53">
        <f t="shared" si="10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:AF98" si="15">B82-B97</f>
        <v>556</v>
      </c>
      <c r="C98" s="67">
        <f t="shared" si="15"/>
        <v>471</v>
      </c>
      <c r="D98" s="67">
        <f t="shared" si="15"/>
        <v>483.4</v>
      </c>
      <c r="E98" s="67">
        <f t="shared" si="15"/>
        <v>0</v>
      </c>
      <c r="F98" s="67">
        <f t="shared" si="15"/>
        <v>0</v>
      </c>
      <c r="G98" s="67">
        <f t="shared" si="15"/>
        <v>0</v>
      </c>
      <c r="H98" s="67">
        <f t="shared" si="15"/>
        <v>0</v>
      </c>
      <c r="I98" s="67">
        <f t="shared" si="15"/>
        <v>0</v>
      </c>
      <c r="J98" s="67">
        <f t="shared" si="15"/>
        <v>0</v>
      </c>
      <c r="K98" s="67">
        <f t="shared" si="15"/>
        <v>0</v>
      </c>
      <c r="L98" s="67">
        <f t="shared" si="15"/>
        <v>0</v>
      </c>
      <c r="M98" s="67">
        <f t="shared" si="15"/>
        <v>0</v>
      </c>
      <c r="N98" s="67">
        <f t="shared" si="15"/>
        <v>0</v>
      </c>
      <c r="O98" s="67">
        <f t="shared" si="15"/>
        <v>0</v>
      </c>
      <c r="P98" s="67">
        <f t="shared" si="15"/>
        <v>0</v>
      </c>
      <c r="Q98" s="67">
        <f t="shared" si="15"/>
        <v>0</v>
      </c>
      <c r="R98" s="67">
        <f t="shared" si="15"/>
        <v>0</v>
      </c>
      <c r="S98" s="67">
        <f t="shared" si="15"/>
        <v>0</v>
      </c>
      <c r="T98" s="67">
        <f t="shared" si="15"/>
        <v>0</v>
      </c>
      <c r="U98" s="67">
        <f t="shared" si="15"/>
        <v>0</v>
      </c>
      <c r="V98" s="67">
        <f t="shared" si="15"/>
        <v>0</v>
      </c>
      <c r="W98" s="67">
        <f t="shared" si="15"/>
        <v>0</v>
      </c>
      <c r="X98" s="67">
        <f t="shared" si="15"/>
        <v>0</v>
      </c>
      <c r="Y98" s="67">
        <f t="shared" si="15"/>
        <v>0</v>
      </c>
      <c r="Z98" s="67">
        <f t="shared" si="15"/>
        <v>0</v>
      </c>
      <c r="AA98" s="67">
        <f t="shared" si="15"/>
        <v>0</v>
      </c>
      <c r="AB98" s="67">
        <f t="shared" si="15"/>
        <v>0</v>
      </c>
      <c r="AC98" s="67">
        <f t="shared" si="15"/>
        <v>0</v>
      </c>
      <c r="AD98" s="67">
        <f t="shared" si="15"/>
        <v>0</v>
      </c>
      <c r="AE98" s="67">
        <f t="shared" si="15"/>
        <v>0</v>
      </c>
      <c r="AF98" s="67">
        <f t="shared" si="15"/>
        <v>0</v>
      </c>
      <c r="AG98" s="95"/>
      <c r="AH98" s="52">
        <f t="shared" si="9"/>
        <v>556</v>
      </c>
      <c r="AI98" s="53">
        <f t="shared" si="10"/>
        <v>0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>
        <v>49.97</v>
      </c>
      <c r="C99" s="108">
        <v>49.95</v>
      </c>
      <c r="D99" s="108">
        <v>50</v>
      </c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9"/>
      <c r="AH99" s="52">
        <f t="shared" si="9"/>
        <v>50</v>
      </c>
      <c r="AI99" s="53">
        <f t="shared" si="10"/>
        <v>49.95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>
        <v>127</v>
      </c>
      <c r="C100" s="72">
        <v>127</v>
      </c>
      <c r="D100" s="72">
        <v>127</v>
      </c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111"/>
      <c r="AH100" s="52">
        <f t="shared" si="9"/>
        <v>127</v>
      </c>
      <c r="AI100" s="53">
        <f t="shared" si="10"/>
        <v>127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>
        <v>131</v>
      </c>
      <c r="C101" s="72">
        <v>132</v>
      </c>
      <c r="D101" s="72">
        <v>132</v>
      </c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111"/>
      <c r="AH101" s="52">
        <f t="shared" si="9"/>
        <v>132</v>
      </c>
      <c r="AI101" s="53">
        <f t="shared" si="10"/>
        <v>131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>
        <v>129</v>
      </c>
      <c r="C102" s="72">
        <v>127</v>
      </c>
      <c r="D102" s="72">
        <v>127</v>
      </c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111"/>
      <c r="AH102" s="52">
        <f t="shared" si="9"/>
        <v>129</v>
      </c>
      <c r="AI102" s="53">
        <f t="shared" si="10"/>
        <v>127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9"/>
        <v>0</v>
      </c>
      <c r="AI103" s="53">
        <f t="shared" si="10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>
        <v>128</v>
      </c>
      <c r="C104" s="113">
        <v>132</v>
      </c>
      <c r="D104" s="113">
        <v>132</v>
      </c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4"/>
      <c r="AH104" s="52">
        <f t="shared" si="9"/>
        <v>132</v>
      </c>
      <c r="AI104" s="53">
        <f t="shared" si="10"/>
        <v>128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>
        <v>132</v>
      </c>
      <c r="C105" s="72">
        <v>131</v>
      </c>
      <c r="D105" s="72">
        <v>131</v>
      </c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111"/>
      <c r="AH105" s="52">
        <f t="shared" si="9"/>
        <v>132</v>
      </c>
      <c r="AI105" s="53">
        <f t="shared" si="10"/>
        <v>131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>
        <v>66</v>
      </c>
      <c r="C106" s="99">
        <v>66</v>
      </c>
      <c r="D106" s="99">
        <v>66</v>
      </c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115"/>
      <c r="AH106" s="52">
        <f t="shared" si="9"/>
        <v>66</v>
      </c>
      <c r="AI106" s="53">
        <f t="shared" si="10"/>
        <v>66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9"/>
        <v>0</v>
      </c>
      <c r="AI107" s="53">
        <f t="shared" si="10"/>
        <v>0</v>
      </c>
    </row>
    <row r="108" spans="1:88" ht="15.75" thickBot="1" x14ac:dyDescent="0.3">
      <c r="A108" s="117" t="s">
        <v>116</v>
      </c>
      <c r="B108" s="118">
        <f t="shared" ref="B108:AF108" si="16">SUM(B18,B24,B27:B28,B56,B58:B59,B61,B63,B109:B113,B135,B141,B147,B156,B158,B170,B177,B180:B181,B188,B190,B192,B196:B198,B200:B202,B207,B213:B214,B216:B218,B226,B231)</f>
        <v>130.5</v>
      </c>
      <c r="C108" s="118">
        <f t="shared" si="16"/>
        <v>124.84</v>
      </c>
      <c r="D108" s="118">
        <f t="shared" si="16"/>
        <v>113.44</v>
      </c>
      <c r="E108" s="118">
        <f t="shared" si="16"/>
        <v>91.44</v>
      </c>
      <c r="F108" s="118">
        <f t="shared" si="16"/>
        <v>0.94</v>
      </c>
      <c r="G108" s="118">
        <f t="shared" si="16"/>
        <v>0.94</v>
      </c>
      <c r="H108" s="118">
        <f t="shared" si="16"/>
        <v>0.94</v>
      </c>
      <c r="I108" s="118">
        <f t="shared" si="16"/>
        <v>0.94</v>
      </c>
      <c r="J108" s="118">
        <f t="shared" si="16"/>
        <v>0.94</v>
      </c>
      <c r="K108" s="118">
        <f t="shared" si="16"/>
        <v>0.94</v>
      </c>
      <c r="L108" s="118">
        <f t="shared" si="16"/>
        <v>0.94</v>
      </c>
      <c r="M108" s="118">
        <f t="shared" si="16"/>
        <v>0.94</v>
      </c>
      <c r="N108" s="118">
        <f t="shared" si="16"/>
        <v>0.94</v>
      </c>
      <c r="O108" s="118">
        <f t="shared" si="16"/>
        <v>0.94</v>
      </c>
      <c r="P108" s="118">
        <v>42</v>
      </c>
      <c r="Q108" s="118">
        <f t="shared" si="16"/>
        <v>0</v>
      </c>
      <c r="R108" s="118">
        <f t="shared" si="16"/>
        <v>0</v>
      </c>
      <c r="S108" s="118">
        <f t="shared" si="16"/>
        <v>0</v>
      </c>
      <c r="T108" s="118">
        <f t="shared" si="16"/>
        <v>0</v>
      </c>
      <c r="U108" s="118">
        <f t="shared" si="16"/>
        <v>0</v>
      </c>
      <c r="V108" s="118">
        <f t="shared" si="16"/>
        <v>0</v>
      </c>
      <c r="W108" s="118">
        <f t="shared" si="16"/>
        <v>0</v>
      </c>
      <c r="X108" s="118">
        <f t="shared" si="16"/>
        <v>0</v>
      </c>
      <c r="Y108" s="118">
        <f t="shared" si="16"/>
        <v>0</v>
      </c>
      <c r="Z108" s="118">
        <f t="shared" si="16"/>
        <v>0</v>
      </c>
      <c r="AA108" s="118">
        <f t="shared" si="16"/>
        <v>0</v>
      </c>
      <c r="AB108" s="118">
        <f t="shared" si="16"/>
        <v>0</v>
      </c>
      <c r="AC108" s="118">
        <f t="shared" si="16"/>
        <v>0</v>
      </c>
      <c r="AD108" s="118">
        <f t="shared" si="16"/>
        <v>0</v>
      </c>
      <c r="AE108" s="118">
        <f t="shared" si="16"/>
        <v>0</v>
      </c>
      <c r="AF108" s="118">
        <f t="shared" si="16"/>
        <v>0</v>
      </c>
      <c r="AG108" s="119"/>
      <c r="AH108" s="52">
        <f t="shared" si="9"/>
        <v>130.5</v>
      </c>
      <c r="AI108" s="53">
        <f t="shared" si="10"/>
        <v>0</v>
      </c>
    </row>
    <row r="109" spans="1:88" x14ac:dyDescent="0.25">
      <c r="A109" s="107" t="s">
        <v>117</v>
      </c>
      <c r="B109" s="120">
        <v>-4</v>
      </c>
      <c r="C109" s="120">
        <v>-4</v>
      </c>
      <c r="D109" s="120">
        <v>-17</v>
      </c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1">
        <v>75</v>
      </c>
      <c r="AH109" s="52">
        <f t="shared" si="9"/>
        <v>-4</v>
      </c>
      <c r="AI109" s="53">
        <f t="shared" si="10"/>
        <v>-17</v>
      </c>
    </row>
    <row r="110" spans="1:88" x14ac:dyDescent="0.25">
      <c r="A110" s="110" t="s">
        <v>118</v>
      </c>
      <c r="B110" s="122">
        <v>-8</v>
      </c>
      <c r="C110" s="122">
        <v>-8.6</v>
      </c>
      <c r="D110" s="122">
        <v>-19</v>
      </c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1">
        <v>240</v>
      </c>
      <c r="AH110" s="52">
        <f t="shared" si="9"/>
        <v>-8</v>
      </c>
      <c r="AI110" s="53">
        <f t="shared" si="10"/>
        <v>-19</v>
      </c>
    </row>
    <row r="111" spans="1:88" x14ac:dyDescent="0.25">
      <c r="A111" s="110" t="s">
        <v>119</v>
      </c>
      <c r="B111" s="122">
        <v>-52</v>
      </c>
      <c r="C111" s="122">
        <v>-59</v>
      </c>
      <c r="D111" s="122">
        <v>-50</v>
      </c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1">
        <v>240</v>
      </c>
      <c r="AH111" s="52">
        <f t="shared" si="9"/>
        <v>-50</v>
      </c>
      <c r="AI111" s="53">
        <f t="shared" si="10"/>
        <v>-59</v>
      </c>
    </row>
    <row r="112" spans="1:88" x14ac:dyDescent="0.25">
      <c r="A112" s="110" t="s">
        <v>120</v>
      </c>
      <c r="B112" s="122">
        <v>24</v>
      </c>
      <c r="C112" s="122">
        <v>25</v>
      </c>
      <c r="D112" s="122">
        <v>27</v>
      </c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1">
        <v>60</v>
      </c>
      <c r="AH112" s="52">
        <f t="shared" si="9"/>
        <v>27</v>
      </c>
      <c r="AI112" s="53">
        <f t="shared" si="10"/>
        <v>24</v>
      </c>
    </row>
    <row r="113" spans="1:37" x14ac:dyDescent="0.25">
      <c r="A113" s="123" t="s">
        <v>121</v>
      </c>
      <c r="B113" s="124">
        <v>80</v>
      </c>
      <c r="C113" s="124">
        <v>80</v>
      </c>
      <c r="D113" s="124">
        <v>81</v>
      </c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  <c r="AG113" s="125">
        <v>120</v>
      </c>
      <c r="AH113" s="52">
        <f t="shared" si="9"/>
        <v>81</v>
      </c>
      <c r="AI113" s="53">
        <f t="shared" si="10"/>
        <v>80</v>
      </c>
    </row>
    <row r="114" spans="1:37" x14ac:dyDescent="0.25">
      <c r="A114" s="123" t="s">
        <v>122</v>
      </c>
      <c r="B114" s="124">
        <v>93</v>
      </c>
      <c r="C114" s="124">
        <v>94</v>
      </c>
      <c r="D114" s="124">
        <v>100</v>
      </c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5"/>
      <c r="AH114" s="52">
        <f t="shared" si="9"/>
        <v>100</v>
      </c>
      <c r="AI114" s="53">
        <f t="shared" si="10"/>
        <v>93</v>
      </c>
    </row>
    <row r="115" spans="1:37" x14ac:dyDescent="0.25">
      <c r="A115" s="123" t="s">
        <v>123</v>
      </c>
      <c r="B115" s="124">
        <v>100</v>
      </c>
      <c r="C115" s="124">
        <v>95</v>
      </c>
      <c r="D115" s="124">
        <v>100</v>
      </c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6"/>
      <c r="AH115" s="52">
        <f t="shared" si="9"/>
        <v>100</v>
      </c>
      <c r="AI115" s="53">
        <f t="shared" si="10"/>
        <v>95</v>
      </c>
    </row>
    <row r="116" spans="1:37" x14ac:dyDescent="0.25">
      <c r="A116" s="127" t="s">
        <v>124</v>
      </c>
      <c r="B116" s="113">
        <v>-26</v>
      </c>
      <c r="C116" s="113">
        <v>-20</v>
      </c>
      <c r="D116" s="113">
        <v>-15</v>
      </c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26"/>
      <c r="AH116" s="52">
        <f t="shared" si="9"/>
        <v>-15</v>
      </c>
      <c r="AI116" s="53">
        <f t="shared" si="10"/>
        <v>-26</v>
      </c>
    </row>
    <row r="117" spans="1:37" ht="15.75" thickBot="1" x14ac:dyDescent="0.3">
      <c r="A117" s="127" t="s">
        <v>125</v>
      </c>
      <c r="B117" s="113">
        <v>110</v>
      </c>
      <c r="C117" s="113">
        <v>105</v>
      </c>
      <c r="D117" s="113">
        <v>108</v>
      </c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26"/>
      <c r="AH117" s="52">
        <f t="shared" si="9"/>
        <v>110</v>
      </c>
      <c r="AI117" s="53">
        <f t="shared" si="10"/>
        <v>105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17">SUM(B119:B223)</f>
        <v>0</v>
      </c>
      <c r="C224" s="144">
        <f t="shared" si="17"/>
        <v>0</v>
      </c>
      <c r="D224" s="144">
        <f t="shared" si="17"/>
        <v>0</v>
      </c>
      <c r="E224" s="144">
        <f t="shared" si="17"/>
        <v>0</v>
      </c>
      <c r="F224" s="144">
        <f t="shared" si="17"/>
        <v>0</v>
      </c>
      <c r="G224" s="144">
        <f t="shared" si="17"/>
        <v>0</v>
      </c>
      <c r="H224" s="144">
        <f t="shared" si="17"/>
        <v>0</v>
      </c>
      <c r="I224" s="144">
        <f t="shared" si="17"/>
        <v>0</v>
      </c>
      <c r="J224" s="144">
        <f t="shared" si="17"/>
        <v>0</v>
      </c>
      <c r="K224" s="144">
        <f t="shared" si="17"/>
        <v>0</v>
      </c>
      <c r="L224" s="144">
        <f t="shared" si="17"/>
        <v>0</v>
      </c>
      <c r="M224" s="144">
        <f t="shared" si="17"/>
        <v>0</v>
      </c>
      <c r="N224" s="144">
        <f t="shared" si="17"/>
        <v>0</v>
      </c>
      <c r="O224" s="144">
        <f t="shared" si="17"/>
        <v>0</v>
      </c>
      <c r="P224" s="144">
        <f t="shared" si="17"/>
        <v>0</v>
      </c>
      <c r="Q224" s="144">
        <f t="shared" si="17"/>
        <v>0</v>
      </c>
      <c r="R224" s="144">
        <f t="shared" si="17"/>
        <v>0</v>
      </c>
      <c r="S224" s="144">
        <f t="shared" si="17"/>
        <v>0</v>
      </c>
      <c r="T224" s="144">
        <f t="shared" si="17"/>
        <v>0</v>
      </c>
      <c r="U224" s="144">
        <f t="shared" si="17"/>
        <v>0</v>
      </c>
      <c r="V224" s="144">
        <f t="shared" si="17"/>
        <v>0</v>
      </c>
      <c r="W224" s="144">
        <f t="shared" si="17"/>
        <v>0</v>
      </c>
      <c r="X224" s="144">
        <f t="shared" si="17"/>
        <v>0</v>
      </c>
      <c r="Y224" s="144">
        <f t="shared" si="17"/>
        <v>0</v>
      </c>
      <c r="Z224" s="144">
        <f t="shared" si="17"/>
        <v>0</v>
      </c>
      <c r="AA224" s="144">
        <f t="shared" si="17"/>
        <v>0</v>
      </c>
      <c r="AB224" s="144">
        <f t="shared" si="17"/>
        <v>0</v>
      </c>
      <c r="AC224" s="144">
        <f t="shared" si="17"/>
        <v>0</v>
      </c>
      <c r="AD224" s="144">
        <f t="shared" si="17"/>
        <v>0</v>
      </c>
      <c r="AE224" s="144">
        <f t="shared" si="17"/>
        <v>0</v>
      </c>
      <c r="AF224" s="145">
        <f t="shared" si="17"/>
        <v>0</v>
      </c>
      <c r="AG224" s="146">
        <f t="shared" si="17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18">AF226</f>
        <v>0</v>
      </c>
      <c r="C226" s="149">
        <v>0.3</v>
      </c>
      <c r="D226" s="149">
        <f t="shared" ref="D226:P231" si="19">C226</f>
        <v>0.3</v>
      </c>
      <c r="E226" s="149">
        <f t="shared" si="19"/>
        <v>0.3</v>
      </c>
      <c r="F226" s="149">
        <f t="shared" si="19"/>
        <v>0.3</v>
      </c>
      <c r="G226" s="149">
        <f t="shared" si="19"/>
        <v>0.3</v>
      </c>
      <c r="H226" s="149">
        <f t="shared" si="19"/>
        <v>0.3</v>
      </c>
      <c r="I226" s="149">
        <f t="shared" si="19"/>
        <v>0.3</v>
      </c>
      <c r="J226" s="149">
        <f t="shared" si="19"/>
        <v>0.3</v>
      </c>
      <c r="K226" s="149">
        <f t="shared" si="19"/>
        <v>0.3</v>
      </c>
      <c r="L226" s="149">
        <f t="shared" si="19"/>
        <v>0.3</v>
      </c>
      <c r="M226" s="149">
        <f t="shared" si="19"/>
        <v>0.3</v>
      </c>
      <c r="N226" s="149">
        <f t="shared" si="19"/>
        <v>0.3</v>
      </c>
      <c r="O226" s="149">
        <f t="shared" si="19"/>
        <v>0.3</v>
      </c>
      <c r="P226" s="149">
        <f t="shared" si="19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18"/>
        <v>0</v>
      </c>
      <c r="C227" s="136">
        <v>0.4</v>
      </c>
      <c r="D227" s="136">
        <f t="shared" si="19"/>
        <v>0.4</v>
      </c>
      <c r="E227" s="136">
        <f t="shared" si="19"/>
        <v>0.4</v>
      </c>
      <c r="F227" s="136">
        <f t="shared" si="19"/>
        <v>0.4</v>
      </c>
      <c r="G227" s="136">
        <f t="shared" si="19"/>
        <v>0.4</v>
      </c>
      <c r="H227" s="136">
        <f t="shared" si="19"/>
        <v>0.4</v>
      </c>
      <c r="I227" s="136">
        <f t="shared" si="19"/>
        <v>0.4</v>
      </c>
      <c r="J227" s="136">
        <f t="shared" si="19"/>
        <v>0.4</v>
      </c>
      <c r="K227" s="136">
        <f t="shared" si="19"/>
        <v>0.4</v>
      </c>
      <c r="L227" s="136">
        <f t="shared" si="19"/>
        <v>0.4</v>
      </c>
      <c r="M227" s="136">
        <f t="shared" si="19"/>
        <v>0.4</v>
      </c>
      <c r="N227" s="136">
        <f t="shared" si="19"/>
        <v>0.4</v>
      </c>
      <c r="O227" s="136">
        <f t="shared" si="19"/>
        <v>0.4</v>
      </c>
      <c r="P227" s="136">
        <f t="shared" si="19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18"/>
        <v>0</v>
      </c>
      <c r="C228" s="136">
        <v>1.5</v>
      </c>
      <c r="D228" s="136">
        <f t="shared" si="19"/>
        <v>1.5</v>
      </c>
      <c r="E228" s="136">
        <f t="shared" si="19"/>
        <v>1.5</v>
      </c>
      <c r="F228" s="136">
        <f t="shared" si="19"/>
        <v>1.5</v>
      </c>
      <c r="G228" s="136">
        <f t="shared" si="19"/>
        <v>1.5</v>
      </c>
      <c r="H228" s="136">
        <f t="shared" si="19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19"/>
        <v>1.5</v>
      </c>
      <c r="K228" s="136">
        <f t="shared" ca="1" si="19"/>
        <v>1.5</v>
      </c>
      <c r="L228" s="136">
        <f t="shared" ca="1" si="19"/>
        <v>1.5</v>
      </c>
      <c r="M228" s="136">
        <f t="shared" ca="1" si="19"/>
        <v>1.5</v>
      </c>
      <c r="N228" s="136">
        <f t="shared" ca="1" si="19"/>
        <v>1.5</v>
      </c>
      <c r="O228" s="136">
        <f t="shared" ca="1" si="19"/>
        <v>1.5</v>
      </c>
      <c r="P228" s="136">
        <f t="shared" ca="1" si="19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18"/>
        <v>0</v>
      </c>
      <c r="C229" s="136">
        <v>0.3</v>
      </c>
      <c r="D229" s="136">
        <f t="shared" si="19"/>
        <v>0.3</v>
      </c>
      <c r="E229" s="136">
        <f t="shared" si="19"/>
        <v>0.3</v>
      </c>
      <c r="F229" s="136">
        <f t="shared" si="19"/>
        <v>0.3</v>
      </c>
      <c r="G229" s="136">
        <f t="shared" si="19"/>
        <v>0.3</v>
      </c>
      <c r="H229" s="136">
        <f t="shared" si="19"/>
        <v>0.3</v>
      </c>
      <c r="I229" s="136">
        <f t="shared" si="19"/>
        <v>0.3</v>
      </c>
      <c r="J229" s="136">
        <f t="shared" si="19"/>
        <v>0.3</v>
      </c>
      <c r="K229" s="136">
        <f t="shared" si="19"/>
        <v>0.3</v>
      </c>
      <c r="L229" s="136">
        <f t="shared" si="19"/>
        <v>0.3</v>
      </c>
      <c r="M229" s="136">
        <f t="shared" si="19"/>
        <v>0.3</v>
      </c>
      <c r="N229" s="136">
        <f t="shared" si="19"/>
        <v>0.3</v>
      </c>
      <c r="O229" s="136">
        <f t="shared" si="19"/>
        <v>0.3</v>
      </c>
      <c r="P229" s="136">
        <f t="shared" si="19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18"/>
        <v>0</v>
      </c>
      <c r="C230" s="136">
        <v>0.4</v>
      </c>
      <c r="D230" s="136">
        <f t="shared" si="19"/>
        <v>0.4</v>
      </c>
      <c r="E230" s="136">
        <f t="shared" si="19"/>
        <v>0.4</v>
      </c>
      <c r="F230" s="136">
        <f t="shared" si="19"/>
        <v>0.4</v>
      </c>
      <c r="G230" s="136">
        <f t="shared" si="19"/>
        <v>0.4</v>
      </c>
      <c r="H230" s="136">
        <f t="shared" si="19"/>
        <v>0.4</v>
      </c>
      <c r="I230" s="136">
        <f t="shared" si="19"/>
        <v>0.4</v>
      </c>
      <c r="J230" s="136">
        <f t="shared" si="19"/>
        <v>0.4</v>
      </c>
      <c r="K230" s="136">
        <f t="shared" si="19"/>
        <v>0.4</v>
      </c>
      <c r="L230" s="136">
        <f t="shared" si="19"/>
        <v>0.4</v>
      </c>
      <c r="M230" s="136">
        <f t="shared" si="19"/>
        <v>0.4</v>
      </c>
      <c r="N230" s="136">
        <f t="shared" si="19"/>
        <v>0.4</v>
      </c>
      <c r="O230" s="136">
        <f t="shared" si="19"/>
        <v>0.4</v>
      </c>
      <c r="P230" s="136">
        <f t="shared" si="19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18"/>
        <v>0</v>
      </c>
      <c r="C231" s="140">
        <v>0.64</v>
      </c>
      <c r="D231" s="140">
        <f t="shared" si="19"/>
        <v>0.64</v>
      </c>
      <c r="E231" s="140">
        <f t="shared" si="19"/>
        <v>0.64</v>
      </c>
      <c r="F231" s="140">
        <f t="shared" si="19"/>
        <v>0.64</v>
      </c>
      <c r="G231" s="140">
        <f t="shared" si="19"/>
        <v>0.64</v>
      </c>
      <c r="H231" s="140">
        <f t="shared" si="19"/>
        <v>0.64</v>
      </c>
      <c r="I231" s="140">
        <f t="shared" si="19"/>
        <v>0.64</v>
      </c>
      <c r="J231" s="140">
        <f t="shared" si="19"/>
        <v>0.64</v>
      </c>
      <c r="K231" s="140">
        <f t="shared" si="19"/>
        <v>0.64</v>
      </c>
      <c r="L231" s="140">
        <f t="shared" si="19"/>
        <v>0.64</v>
      </c>
      <c r="M231" s="140">
        <f t="shared" si="19"/>
        <v>0.64</v>
      </c>
      <c r="N231" s="140">
        <f t="shared" si="19"/>
        <v>0.64</v>
      </c>
      <c r="O231" s="140">
        <f t="shared" si="19"/>
        <v>0.64</v>
      </c>
      <c r="P231" s="140">
        <f t="shared" si="19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20">SUM(B226:B231)</f>
        <v>0</v>
      </c>
      <c r="C232" s="144">
        <f t="shared" si="20"/>
        <v>3.54</v>
      </c>
      <c r="D232" s="144">
        <f t="shared" si="20"/>
        <v>3.54</v>
      </c>
      <c r="E232" s="144">
        <f t="shared" si="20"/>
        <v>3.54</v>
      </c>
      <c r="F232" s="144">
        <f t="shared" si="20"/>
        <v>3.54</v>
      </c>
      <c r="G232" s="144">
        <f t="shared" si="20"/>
        <v>3.54</v>
      </c>
      <c r="H232" s="144">
        <f t="shared" si="20"/>
        <v>3.54</v>
      </c>
      <c r="I232" s="144">
        <f t="shared" ca="1" si="20"/>
        <v>3.54</v>
      </c>
      <c r="J232" s="144">
        <f t="shared" ca="1" si="20"/>
        <v>3.54</v>
      </c>
      <c r="K232" s="144">
        <f t="shared" ca="1" si="20"/>
        <v>3.54</v>
      </c>
      <c r="L232" s="144">
        <f t="shared" ca="1" si="20"/>
        <v>3.54</v>
      </c>
      <c r="M232" s="144">
        <f t="shared" ca="1" si="20"/>
        <v>3.54</v>
      </c>
      <c r="N232" s="144">
        <f t="shared" ca="1" si="20"/>
        <v>3.54</v>
      </c>
      <c r="O232" s="144">
        <f t="shared" ca="1" si="20"/>
        <v>3.54</v>
      </c>
      <c r="P232" s="144">
        <f t="shared" ca="1" si="20"/>
        <v>3.54</v>
      </c>
      <c r="Q232" s="144">
        <f t="shared" si="20"/>
        <v>0</v>
      </c>
      <c r="R232" s="144">
        <f t="shared" si="20"/>
        <v>0</v>
      </c>
      <c r="S232" s="144">
        <f t="shared" si="20"/>
        <v>0</v>
      </c>
      <c r="T232" s="144">
        <f t="shared" si="20"/>
        <v>0</v>
      </c>
      <c r="U232" s="144">
        <f t="shared" si="20"/>
        <v>0</v>
      </c>
      <c r="V232" s="144">
        <f t="shared" si="20"/>
        <v>0</v>
      </c>
      <c r="W232" s="144">
        <f t="shared" si="20"/>
        <v>0</v>
      </c>
      <c r="X232" s="144">
        <f t="shared" si="20"/>
        <v>0</v>
      </c>
      <c r="Y232" s="144">
        <f t="shared" si="20"/>
        <v>0</v>
      </c>
      <c r="Z232" s="144">
        <f t="shared" si="20"/>
        <v>0</v>
      </c>
      <c r="AA232" s="144">
        <f t="shared" si="20"/>
        <v>0</v>
      </c>
      <c r="AB232" s="144">
        <f t="shared" si="20"/>
        <v>0</v>
      </c>
      <c r="AC232" s="144">
        <f t="shared" si="20"/>
        <v>0</v>
      </c>
      <c r="AD232" s="144">
        <f t="shared" si="20"/>
        <v>0</v>
      </c>
      <c r="AE232" s="144">
        <f t="shared" si="20"/>
        <v>0</v>
      </c>
      <c r="AF232" s="144">
        <f t="shared" si="20"/>
        <v>0</v>
      </c>
      <c r="AG232" s="154">
        <f t="shared" si="20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3.54</v>
      </c>
      <c r="C241" s="170">
        <f>INDEX(G9:N9,1,MATCH(MAX(G89:N89),G89:N89,0))</f>
        <v>0.20833333333333301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27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str">
        <f ca="1">"Pie Chart of Daily Peak Demand(Inclusive of Export) of Nepal ("&amp;A4&amp;" "&amp;B4&amp;")"</f>
        <v>Pie Chart of Daily Peak Demand(Inclusive of Export) of Nepal (Nepali Date: 2079/12/27)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2079/12/27)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21">B89</f>
        <v>1461.6399999999999</v>
      </c>
      <c r="U246" s="180">
        <f t="shared" si="21"/>
        <v>1342.04</v>
      </c>
      <c r="V246" s="180">
        <f t="shared" si="21"/>
        <v>1232.44</v>
      </c>
      <c r="W246" s="180">
        <f t="shared" si="21"/>
        <v>948.04</v>
      </c>
      <c r="X246" s="180">
        <f t="shared" si="21"/>
        <v>3.54</v>
      </c>
      <c r="Y246" s="180">
        <f t="shared" si="21"/>
        <v>3.54</v>
      </c>
      <c r="Z246" s="180">
        <f t="shared" si="21"/>
        <v>3.54</v>
      </c>
      <c r="AA246" s="180">
        <f t="shared" si="21"/>
        <v>3.54</v>
      </c>
      <c r="AB246" s="180">
        <f t="shared" si="21"/>
        <v>3.54</v>
      </c>
      <c r="AC246" s="180">
        <f t="shared" si="21"/>
        <v>3.54</v>
      </c>
      <c r="AD246" s="180">
        <f t="shared" si="21"/>
        <v>3.54</v>
      </c>
      <c r="AE246" s="180">
        <f t="shared" si="21"/>
        <v>3.54</v>
      </c>
      <c r="AF246" s="180">
        <f t="shared" si="21"/>
        <v>3.54</v>
      </c>
      <c r="AG246" s="180">
        <f t="shared" si="21"/>
        <v>3.54</v>
      </c>
      <c r="AH246" s="180">
        <f t="shared" si="21"/>
        <v>3.54</v>
      </c>
      <c r="AI246" s="180">
        <f t="shared" si="21"/>
        <v>3.54</v>
      </c>
      <c r="AJ246" s="180">
        <f t="shared" si="21"/>
        <v>3.54</v>
      </c>
      <c r="AK246" s="180">
        <f t="shared" si="21"/>
        <v>3.54</v>
      </c>
      <c r="AL246" s="180">
        <f t="shared" si="21"/>
        <v>3.54</v>
      </c>
      <c r="AM246" s="180">
        <f t="shared" si="21"/>
        <v>3.54</v>
      </c>
      <c r="AN246" s="180">
        <f t="shared" si="21"/>
        <v>3.54</v>
      </c>
      <c r="AO246" s="180">
        <f t="shared" si="21"/>
        <v>3.54</v>
      </c>
      <c r="AP246" s="180">
        <f t="shared" si="21"/>
        <v>3.54</v>
      </c>
      <c r="AQ246" s="180">
        <f t="shared" si="21"/>
        <v>3.54</v>
      </c>
      <c r="AR246" s="180">
        <f t="shared" si="21"/>
        <v>3.54</v>
      </c>
      <c r="AS246" s="180">
        <f t="shared" si="21"/>
        <v>3.54</v>
      </c>
      <c r="AT246" s="180">
        <f t="shared" si="21"/>
        <v>3.54</v>
      </c>
      <c r="AU246" s="180">
        <f t="shared" si="21"/>
        <v>3.54</v>
      </c>
      <c r="AV246" s="180">
        <f t="shared" si="21"/>
        <v>3.54</v>
      </c>
      <c r="AW246" s="180">
        <f t="shared" si="21"/>
        <v>3.54</v>
      </c>
      <c r="AX246" s="180">
        <f t="shared" si="21"/>
        <v>3.54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22">C231</f>
        <v>0.64</v>
      </c>
      <c r="C267" s="183">
        <f t="shared" si="22"/>
        <v>0.64</v>
      </c>
      <c r="D267" s="183">
        <f t="shared" si="22"/>
        <v>0.64</v>
      </c>
      <c r="E267" s="183">
        <f t="shared" si="22"/>
        <v>0.64</v>
      </c>
      <c r="F267" s="183">
        <f t="shared" si="22"/>
        <v>0.64</v>
      </c>
      <c r="G267" s="183">
        <f t="shared" si="22"/>
        <v>0.64</v>
      </c>
      <c r="H267" s="183">
        <f t="shared" si="22"/>
        <v>0.64</v>
      </c>
      <c r="I267" s="183">
        <f t="shared" si="22"/>
        <v>0.64</v>
      </c>
      <c r="J267" s="183">
        <f t="shared" si="22"/>
        <v>0.64</v>
      </c>
      <c r="K267" s="183">
        <f t="shared" si="22"/>
        <v>0.64</v>
      </c>
      <c r="L267" s="183">
        <f t="shared" si="22"/>
        <v>0.64</v>
      </c>
      <c r="M267" s="183">
        <f t="shared" si="22"/>
        <v>0.64</v>
      </c>
      <c r="N267" s="183">
        <f t="shared" si="22"/>
        <v>0.64</v>
      </c>
      <c r="O267" s="183">
        <f t="shared" si="22"/>
        <v>0.64</v>
      </c>
      <c r="P267" s="183">
        <f t="shared" si="22"/>
        <v>0</v>
      </c>
      <c r="Q267" s="183">
        <f t="shared" si="22"/>
        <v>0</v>
      </c>
      <c r="R267" s="183">
        <f t="shared" si="22"/>
        <v>0</v>
      </c>
      <c r="S267" s="183">
        <f t="shared" si="22"/>
        <v>0</v>
      </c>
      <c r="T267" s="183">
        <f t="shared" si="22"/>
        <v>0</v>
      </c>
      <c r="U267" s="183">
        <f t="shared" si="22"/>
        <v>0</v>
      </c>
      <c r="V267" s="183">
        <f t="shared" si="22"/>
        <v>0</v>
      </c>
      <c r="W267" s="183">
        <f t="shared" si="22"/>
        <v>0</v>
      </c>
      <c r="X267" s="183">
        <f t="shared" si="22"/>
        <v>0</v>
      </c>
      <c r="Y267" s="183">
        <f t="shared" si="22"/>
        <v>0</v>
      </c>
      <c r="Z267" s="183">
        <f t="shared" si="22"/>
        <v>0</v>
      </c>
      <c r="AA267" s="183">
        <f t="shared" si="22"/>
        <v>0</v>
      </c>
      <c r="AB267" s="183">
        <f t="shared" si="22"/>
        <v>0</v>
      </c>
      <c r="AC267" s="183">
        <f t="shared" si="22"/>
        <v>0</v>
      </c>
      <c r="AD267" s="183">
        <f t="shared" si="22"/>
        <v>0</v>
      </c>
      <c r="AE267" s="183">
        <f t="shared" si="22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23">IF(B235&lt;100,"",B235-520)</f>
        <v/>
      </c>
      <c r="C268" s="184" t="str">
        <f t="shared" si="23"/>
        <v/>
      </c>
      <c r="D268" s="184" t="str">
        <f t="shared" si="23"/>
        <v/>
      </c>
      <c r="E268" s="184" t="str">
        <f t="shared" si="23"/>
        <v/>
      </c>
      <c r="F268" s="184" t="str">
        <f t="shared" si="23"/>
        <v/>
      </c>
      <c r="G268" s="184" t="str">
        <f t="shared" si="23"/>
        <v/>
      </c>
      <c r="H268" s="184" t="str">
        <f t="shared" si="23"/>
        <v/>
      </c>
      <c r="I268" s="184" t="str">
        <f t="shared" si="23"/>
        <v/>
      </c>
      <c r="J268" s="184" t="str">
        <f t="shared" si="23"/>
        <v/>
      </c>
      <c r="K268" s="184" t="str">
        <f t="shared" si="23"/>
        <v/>
      </c>
      <c r="L268" s="184" t="str">
        <f t="shared" si="23"/>
        <v/>
      </c>
      <c r="M268" s="184" t="str">
        <f t="shared" si="23"/>
        <v/>
      </c>
      <c r="N268" s="184" t="str">
        <f t="shared" si="23"/>
        <v/>
      </c>
      <c r="O268" s="184" t="str">
        <f t="shared" si="23"/>
        <v/>
      </c>
      <c r="P268" s="184" t="str">
        <f t="shared" si="23"/>
        <v/>
      </c>
      <c r="Q268" s="184" t="str">
        <f t="shared" si="23"/>
        <v/>
      </c>
      <c r="R268" s="184" t="str">
        <f t="shared" si="23"/>
        <v/>
      </c>
      <c r="S268" s="184" t="str">
        <f t="shared" si="23"/>
        <v/>
      </c>
      <c r="T268" s="184" t="str">
        <f t="shared" si="23"/>
        <v/>
      </c>
      <c r="U268" s="184" t="str">
        <f t="shared" si="23"/>
        <v/>
      </c>
      <c r="V268" s="184" t="str">
        <f t="shared" si="23"/>
        <v/>
      </c>
      <c r="W268" s="184" t="str">
        <f t="shared" si="23"/>
        <v/>
      </c>
      <c r="X268" s="184" t="str">
        <f t="shared" si="23"/>
        <v/>
      </c>
      <c r="Y268" s="184" t="str">
        <f t="shared" si="23"/>
        <v/>
      </c>
      <c r="Z268" s="184" t="str">
        <f t="shared" si="23"/>
        <v/>
      </c>
      <c r="AA268" s="184" t="str">
        <f t="shared" si="23"/>
        <v/>
      </c>
      <c r="AB268" s="184" t="str">
        <f t="shared" si="23"/>
        <v/>
      </c>
      <c r="AC268" s="184" t="str">
        <f t="shared" si="23"/>
        <v/>
      </c>
      <c r="AD268" s="184" t="str">
        <f t="shared" si="23"/>
        <v/>
      </c>
      <c r="AE268" s="184" t="str">
        <f t="shared" si="23"/>
        <v/>
      </c>
      <c r="AF268" s="184" t="str">
        <f t="shared" si="23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24">IF(B236&lt;100,"",B236-620)</f>
        <v/>
      </c>
      <c r="C269" s="184" t="str">
        <f t="shared" si="24"/>
        <v/>
      </c>
      <c r="D269" s="184" t="str">
        <f t="shared" si="24"/>
        <v/>
      </c>
      <c r="E269" s="184" t="str">
        <f t="shared" si="24"/>
        <v/>
      </c>
      <c r="F269" s="184" t="str">
        <f t="shared" si="24"/>
        <v/>
      </c>
      <c r="G269" s="184" t="str">
        <f t="shared" si="24"/>
        <v/>
      </c>
      <c r="H269" s="184" t="str">
        <f t="shared" si="24"/>
        <v/>
      </c>
      <c r="I269" s="184" t="str">
        <f t="shared" si="24"/>
        <v/>
      </c>
      <c r="J269" s="184" t="str">
        <f t="shared" si="24"/>
        <v/>
      </c>
      <c r="K269" s="184" t="str">
        <f t="shared" si="24"/>
        <v/>
      </c>
      <c r="L269" s="184" t="str">
        <f t="shared" si="24"/>
        <v/>
      </c>
      <c r="M269" s="184" t="str">
        <f t="shared" si="24"/>
        <v/>
      </c>
      <c r="N269" s="184" t="str">
        <f t="shared" si="24"/>
        <v/>
      </c>
      <c r="O269" s="184" t="str">
        <f t="shared" si="24"/>
        <v/>
      </c>
      <c r="P269" s="184" t="str">
        <f t="shared" si="24"/>
        <v/>
      </c>
      <c r="Q269" s="184" t="str">
        <f t="shared" si="24"/>
        <v/>
      </c>
      <c r="R269" s="184" t="str">
        <f t="shared" si="24"/>
        <v/>
      </c>
      <c r="S269" s="184" t="str">
        <f t="shared" si="24"/>
        <v/>
      </c>
      <c r="T269" s="184" t="str">
        <f t="shared" si="24"/>
        <v/>
      </c>
      <c r="U269" s="184" t="str">
        <f t="shared" si="24"/>
        <v/>
      </c>
      <c r="V269" s="184" t="str">
        <f t="shared" si="24"/>
        <v/>
      </c>
      <c r="W269" s="184" t="str">
        <f t="shared" si="24"/>
        <v/>
      </c>
      <c r="X269" s="184" t="str">
        <f t="shared" si="24"/>
        <v/>
      </c>
      <c r="Y269" s="184" t="str">
        <f t="shared" si="24"/>
        <v/>
      </c>
      <c r="Z269" s="184" t="str">
        <f t="shared" si="24"/>
        <v/>
      </c>
      <c r="AA269" s="184" t="str">
        <f t="shared" si="24"/>
        <v/>
      </c>
      <c r="AB269" s="184" t="str">
        <f t="shared" si="24"/>
        <v/>
      </c>
      <c r="AC269" s="184" t="str">
        <f t="shared" si="24"/>
        <v/>
      </c>
      <c r="AD269" s="184" t="str">
        <f t="shared" si="24"/>
        <v/>
      </c>
      <c r="AE269" s="184" t="str">
        <f t="shared" si="24"/>
        <v/>
      </c>
      <c r="AF269" s="184" t="str">
        <f t="shared" si="24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25">IF(B237&lt;100,"",B237-330)</f>
        <v/>
      </c>
      <c r="C270" s="184" t="str">
        <f t="shared" si="25"/>
        <v/>
      </c>
      <c r="D270" s="184" t="str">
        <f t="shared" si="25"/>
        <v/>
      </c>
      <c r="E270" s="184" t="str">
        <f t="shared" si="25"/>
        <v/>
      </c>
      <c r="F270" s="184" t="str">
        <f t="shared" si="25"/>
        <v/>
      </c>
      <c r="G270" s="184" t="str">
        <f t="shared" si="25"/>
        <v/>
      </c>
      <c r="H270" s="184" t="str">
        <f t="shared" si="25"/>
        <v/>
      </c>
      <c r="I270" s="184" t="str">
        <f t="shared" si="25"/>
        <v/>
      </c>
      <c r="J270" s="184" t="str">
        <f t="shared" si="25"/>
        <v/>
      </c>
      <c r="K270" s="184" t="str">
        <f t="shared" si="25"/>
        <v/>
      </c>
      <c r="L270" s="184" t="str">
        <f t="shared" si="25"/>
        <v/>
      </c>
      <c r="M270" s="184" t="str">
        <f t="shared" si="25"/>
        <v/>
      </c>
      <c r="N270" s="184" t="str">
        <f t="shared" si="25"/>
        <v/>
      </c>
      <c r="O270" s="184" t="str">
        <f t="shared" si="25"/>
        <v/>
      </c>
      <c r="P270" s="184" t="str">
        <f t="shared" si="25"/>
        <v/>
      </c>
      <c r="Q270" s="184" t="str">
        <f t="shared" si="25"/>
        <v/>
      </c>
      <c r="R270" s="184" t="str">
        <f t="shared" si="25"/>
        <v/>
      </c>
      <c r="S270" s="184" t="str">
        <f t="shared" si="25"/>
        <v/>
      </c>
      <c r="T270" s="184" t="str">
        <f t="shared" si="25"/>
        <v/>
      </c>
      <c r="U270" s="184" t="str">
        <f t="shared" si="25"/>
        <v/>
      </c>
      <c r="V270" s="184" t="str">
        <f t="shared" si="25"/>
        <v/>
      </c>
      <c r="W270" s="184" t="str">
        <f t="shared" si="25"/>
        <v/>
      </c>
      <c r="X270" s="184" t="str">
        <f t="shared" si="25"/>
        <v/>
      </c>
      <c r="Y270" s="184" t="str">
        <f t="shared" si="25"/>
        <v/>
      </c>
      <c r="Z270" s="184" t="str">
        <f t="shared" si="25"/>
        <v/>
      </c>
      <c r="AA270" s="184" t="str">
        <f t="shared" si="25"/>
        <v/>
      </c>
      <c r="AB270" s="184" t="str">
        <f t="shared" si="25"/>
        <v/>
      </c>
      <c r="AC270" s="184" t="str">
        <f t="shared" si="25"/>
        <v/>
      </c>
      <c r="AD270" s="184" t="str">
        <f t="shared" si="25"/>
        <v/>
      </c>
      <c r="AE270" s="184" t="str">
        <f t="shared" si="25"/>
        <v/>
      </c>
      <c r="AF270" s="184" t="str">
        <f t="shared" si="25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26">IF(B238&lt;100,"",B238-1500)</f>
        <v/>
      </c>
      <c r="C271" s="184" t="str">
        <f t="shared" si="26"/>
        <v/>
      </c>
      <c r="D271" s="184" t="str">
        <f t="shared" si="26"/>
        <v/>
      </c>
      <c r="E271" s="184" t="str">
        <f t="shared" si="26"/>
        <v/>
      </c>
      <c r="F271" s="184" t="str">
        <f t="shared" si="26"/>
        <v/>
      </c>
      <c r="G271" s="184" t="str">
        <f t="shared" si="26"/>
        <v/>
      </c>
      <c r="H271" s="184" t="str">
        <f t="shared" si="26"/>
        <v/>
      </c>
      <c r="I271" s="184" t="str">
        <f t="shared" si="26"/>
        <v/>
      </c>
      <c r="J271" s="184" t="str">
        <f t="shared" si="26"/>
        <v/>
      </c>
      <c r="K271" s="184" t="str">
        <f t="shared" si="26"/>
        <v/>
      </c>
      <c r="L271" s="184" t="str">
        <f t="shared" si="26"/>
        <v/>
      </c>
      <c r="M271" s="184" t="str">
        <f t="shared" si="26"/>
        <v/>
      </c>
      <c r="N271" s="184" t="str">
        <f t="shared" si="26"/>
        <v/>
      </c>
      <c r="O271" s="184" t="str">
        <f t="shared" si="26"/>
        <v/>
      </c>
      <c r="P271" s="184" t="str">
        <f t="shared" si="26"/>
        <v/>
      </c>
      <c r="Q271" s="184" t="str">
        <f t="shared" si="26"/>
        <v/>
      </c>
      <c r="R271" s="184" t="str">
        <f t="shared" si="26"/>
        <v/>
      </c>
      <c r="S271" s="184" t="str">
        <f t="shared" si="26"/>
        <v/>
      </c>
      <c r="T271" s="184" t="str">
        <f t="shared" si="26"/>
        <v/>
      </c>
      <c r="U271" s="184" t="str">
        <f t="shared" si="26"/>
        <v/>
      </c>
      <c r="V271" s="184" t="str">
        <f t="shared" si="26"/>
        <v/>
      </c>
      <c r="W271" s="184" t="str">
        <f t="shared" si="26"/>
        <v/>
      </c>
      <c r="X271" s="184" t="str">
        <f t="shared" si="26"/>
        <v/>
      </c>
      <c r="Y271" s="184" t="str">
        <f t="shared" si="26"/>
        <v/>
      </c>
      <c r="Z271" s="184" t="str">
        <f t="shared" si="26"/>
        <v/>
      </c>
      <c r="AA271" s="184" t="str">
        <f t="shared" si="26"/>
        <v/>
      </c>
      <c r="AB271" s="184" t="str">
        <f t="shared" si="26"/>
        <v/>
      </c>
      <c r="AC271" s="184" t="str">
        <f t="shared" si="26"/>
        <v/>
      </c>
      <c r="AD271" s="184" t="str">
        <f t="shared" si="26"/>
        <v/>
      </c>
      <c r="AE271" s="184" t="str">
        <f t="shared" si="26"/>
        <v/>
      </c>
      <c r="AF271" s="184" t="str">
        <f t="shared" si="26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757" priority="339">
      <formula>B$9&gt;=20/24</formula>
    </cfRule>
    <cfRule type="expression" dxfId="756" priority="340">
      <formula>AND(B$9&gt;=14/24,B$9&lt;20/24)</formula>
    </cfRule>
    <cfRule type="expression" dxfId="755" priority="341">
      <formula>AND(B$9&gt;=8/24,B$9&lt;14/24)</formula>
    </cfRule>
    <cfRule type="expression" dxfId="754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753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752" priority="336">
      <formula>$AH12=0</formula>
    </cfRule>
  </conditionalFormatting>
  <conditionalFormatting sqref="A114">
    <cfRule type="expression" dxfId="751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750" priority="333">
      <formula>$AH45=0</formula>
    </cfRule>
  </conditionalFormatting>
  <conditionalFormatting sqref="A98">
    <cfRule type="expression" dxfId="749" priority="332">
      <formula>$AH98=0</formula>
    </cfRule>
  </conditionalFormatting>
  <conditionalFormatting sqref="A18">
    <cfRule type="expression" dxfId="748" priority="331">
      <formula>$AH18=0</formula>
    </cfRule>
  </conditionalFormatting>
  <conditionalFormatting sqref="A196:A201">
    <cfRule type="expression" dxfId="747" priority="330">
      <formula>$AH196=0</formula>
    </cfRule>
  </conditionalFormatting>
  <conditionalFormatting sqref="A190:A195">
    <cfRule type="expression" dxfId="746" priority="329">
      <formula>$AH190=0</formula>
    </cfRule>
  </conditionalFormatting>
  <conditionalFormatting sqref="A58">
    <cfRule type="expression" dxfId="745" priority="328">
      <formula>$AH58=0</formula>
    </cfRule>
  </conditionalFormatting>
  <conditionalFormatting sqref="A94">
    <cfRule type="expression" dxfId="744" priority="327">
      <formula>$AH94=0</formula>
    </cfRule>
  </conditionalFormatting>
  <conditionalFormatting sqref="E99:X99 AD99:AF99">
    <cfRule type="expression" dxfId="743" priority="323">
      <formula>E$9&gt;=20/24</formula>
    </cfRule>
    <cfRule type="expression" dxfId="742" priority="324">
      <formula>AND(E$9&gt;=14/24,E$9&lt;20/24)</formula>
    </cfRule>
    <cfRule type="expression" dxfId="741" priority="325">
      <formula>AND(E$9&gt;=8/24,E$9&lt;14/24)</formula>
    </cfRule>
    <cfRule type="expression" dxfId="740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39" priority="345">
      <formula>C$9&gt;=20/24</formula>
    </cfRule>
    <cfRule type="expression" dxfId="738" priority="346">
      <formula>AND(C$9&gt;=14/24,C$9&lt;20/24)</formula>
    </cfRule>
    <cfRule type="expression" dxfId="737" priority="347">
      <formula>AND(C$9&gt;=8/24,C$9&lt;14/24)</formula>
    </cfRule>
    <cfRule type="expression" dxfId="736" priority="348">
      <formula>C$9&lt;8/24</formula>
    </cfRule>
  </conditionalFormatting>
  <conditionalFormatting sqref="A233">
    <cfRule type="expression" dxfId="735" priority="349">
      <formula>$AH233=0</formula>
    </cfRule>
  </conditionalFormatting>
  <conditionalFormatting sqref="AG245">
    <cfRule type="expression" dxfId="734" priority="350">
      <formula>B$9&gt;=20/24</formula>
    </cfRule>
    <cfRule type="expression" dxfId="733" priority="351">
      <formula>AND(B$9&gt;=14/24,B$9&lt;20/24)</formula>
    </cfRule>
    <cfRule type="expression" dxfId="732" priority="352">
      <formula>AND(B$9&gt;=8/24,B$9&lt;14/24)</formula>
    </cfRule>
    <cfRule type="expression" dxfId="731" priority="353">
      <formula>B$9&lt;8/24</formula>
    </cfRule>
  </conditionalFormatting>
  <conditionalFormatting sqref="S8">
    <cfRule type="expression" dxfId="730" priority="318">
      <formula>U$9&gt;=20/24</formula>
    </cfRule>
    <cfRule type="expression" dxfId="729" priority="319">
      <formula>AND(U$9&gt;=14/24,U$9&lt;20/24)</formula>
    </cfRule>
    <cfRule type="expression" dxfId="728" priority="320">
      <formula>AND(U$9&gt;=8/24,U$9&lt;14/24)</formula>
    </cfRule>
    <cfRule type="expression" dxfId="727" priority="321">
      <formula>U$9&lt;8/24</formula>
    </cfRule>
  </conditionalFormatting>
  <conditionalFormatting sqref="AB8">
    <cfRule type="expression" dxfId="726" priority="314">
      <formula>AD$9&gt;=20/24</formula>
    </cfRule>
    <cfRule type="expression" dxfId="725" priority="315">
      <formula>AND(AD$9&gt;=14/24,AD$9&lt;20/24)</formula>
    </cfRule>
    <cfRule type="expression" dxfId="724" priority="316">
      <formula>AND(AD$9&gt;=8/24,AD$9&lt;14/24)</formula>
    </cfRule>
    <cfRule type="expression" dxfId="723" priority="317">
      <formula>AD$9&lt;8/24</formula>
    </cfRule>
  </conditionalFormatting>
  <conditionalFormatting sqref="AH245:AX245">
    <cfRule type="expression" dxfId="722" priority="354">
      <formula>AG$9&gt;=20/24</formula>
    </cfRule>
    <cfRule type="expression" dxfId="721" priority="355">
      <formula>AND(AG$9&gt;=14/24,AG$9&lt;20/24)</formula>
    </cfRule>
    <cfRule type="expression" dxfId="720" priority="356">
      <formula>AND(AG$9&gt;=8/24,AG$9&lt;14/24)</formula>
    </cfRule>
    <cfRule type="expression" dxfId="719" priority="357">
      <formula>AG$9&lt;8/24</formula>
    </cfRule>
  </conditionalFormatting>
  <conditionalFormatting sqref="T245">
    <cfRule type="expression" dxfId="718" priority="358">
      <formula>AX$9&gt;=20/24</formula>
    </cfRule>
    <cfRule type="expression" dxfId="717" priority="359">
      <formula>AND(AX$9&gt;=14/24,AX$9&lt;20/24)</formula>
    </cfRule>
    <cfRule type="expression" dxfId="716" priority="360">
      <formula>AND(AX$9&gt;=8/24,AX$9&lt;14/24)</formula>
    </cfRule>
    <cfRule type="expression" dxfId="715" priority="361">
      <formula>AX$9&lt;8/24</formula>
    </cfRule>
  </conditionalFormatting>
  <conditionalFormatting sqref="A115:A116">
    <cfRule type="expression" dxfId="714" priority="313">
      <formula>$AH115=0</formula>
    </cfRule>
  </conditionalFormatting>
  <conditionalFormatting sqref="E71:AF71 AB54:AF57 M54:Q58">
    <cfRule type="expression" dxfId="713" priority="309">
      <formula>E$9&gt;=20/24</formula>
    </cfRule>
    <cfRule type="expression" dxfId="712" priority="310">
      <formula>AND(E$9&gt;=14/24,E$9&lt;20/24)</formula>
    </cfRule>
    <cfRule type="expression" dxfId="711" priority="311">
      <formula>AND(E$9&gt;=8/24,E$9&lt;14/24)</formula>
    </cfRule>
    <cfRule type="expression" dxfId="710" priority="312">
      <formula>E$9&lt;8/24</formula>
    </cfRule>
  </conditionalFormatting>
  <conditionalFormatting sqref="M53:Q53 AB53:AF53">
    <cfRule type="expression" dxfId="709" priority="305">
      <formula>M$9&gt;=20/24</formula>
    </cfRule>
    <cfRule type="expression" dxfId="708" priority="306">
      <formula>AND(M$9&gt;=14/24,M$9&lt;20/24)</formula>
    </cfRule>
    <cfRule type="expression" dxfId="707" priority="307">
      <formula>AND(M$9&gt;=8/24,M$9&lt;14/24)</formula>
    </cfRule>
    <cfRule type="expression" dxfId="706" priority="308">
      <formula>M$9&lt;8/24</formula>
    </cfRule>
  </conditionalFormatting>
  <conditionalFormatting sqref="AB53:AF57 M53:Q58">
    <cfRule type="expression" dxfId="705" priority="304">
      <formula>M53&gt;$AG53</formula>
    </cfRule>
  </conditionalFormatting>
  <conditionalFormatting sqref="D86:AF86 M100:X106 X96:AF96 AD100:AF106 E72:X73 Y72:AF74 X47:AF47 X67:AF69">
    <cfRule type="expression" dxfId="704" priority="300">
      <formula>D$9&gt;=20/24</formula>
    </cfRule>
    <cfRule type="expression" dxfId="703" priority="301">
      <formula>AND(D$9&gt;=14/24,D$9&lt;20/24)</formula>
    </cfRule>
    <cfRule type="expression" dxfId="702" priority="302">
      <formula>AND(D$9&gt;=8/24,D$9&lt;14/24)</formula>
    </cfRule>
    <cfRule type="expression" dxfId="701" priority="303">
      <formula>D$9&lt;8/24</formula>
    </cfRule>
  </conditionalFormatting>
  <conditionalFormatting sqref="X47:AF47 X67:AF69">
    <cfRule type="expression" dxfId="700" priority="299">
      <formula>X47&gt;$AG47</formula>
    </cfRule>
  </conditionalFormatting>
  <conditionalFormatting sqref="R53:AA58">
    <cfRule type="expression" dxfId="699" priority="295">
      <formula>R$9&gt;=20/24</formula>
    </cfRule>
    <cfRule type="expression" dxfId="698" priority="296">
      <formula>AND(R$9&gt;=14/24,R$9&lt;20/24)</formula>
    </cfRule>
    <cfRule type="expression" dxfId="697" priority="297">
      <formula>AND(R$9&gt;=8/24,R$9&lt;14/24)</formula>
    </cfRule>
    <cfRule type="expression" dxfId="696" priority="298">
      <formula>R$9&lt;8/24</formula>
    </cfRule>
  </conditionalFormatting>
  <conditionalFormatting sqref="R53:AA58">
    <cfRule type="expression" dxfId="695" priority="294">
      <formula>R53&gt;$AG53</formula>
    </cfRule>
  </conditionalFormatting>
  <conditionalFormatting sqref="C97:AF97 D88:AF88">
    <cfRule type="expression" dxfId="694" priority="290">
      <formula>C$9&gt;=20/24</formula>
    </cfRule>
    <cfRule type="expression" dxfId="693" priority="291">
      <formula>AND(C$9&gt;=14/24,C$9&lt;20/24)</formula>
    </cfRule>
    <cfRule type="expression" dxfId="692" priority="292">
      <formula>AND(C$9&gt;=8/24,C$9&lt;14/24)</formula>
    </cfRule>
    <cfRule type="expression" dxfId="691" priority="293">
      <formula>C$9&lt;8/24</formula>
    </cfRule>
  </conditionalFormatting>
  <conditionalFormatting sqref="T47:W47">
    <cfRule type="expression" dxfId="690" priority="286">
      <formula>T$9&gt;=20/24</formula>
    </cfRule>
    <cfRule type="expression" dxfId="689" priority="287">
      <formula>AND(T$9&gt;=14/24,T$9&lt;20/24)</formula>
    </cfRule>
    <cfRule type="expression" dxfId="688" priority="288">
      <formula>AND(T$9&gt;=8/24,T$9&lt;14/24)</formula>
    </cfRule>
    <cfRule type="expression" dxfId="687" priority="289">
      <formula>T$9&lt;8/24</formula>
    </cfRule>
  </conditionalFormatting>
  <conditionalFormatting sqref="T47:W47">
    <cfRule type="expression" dxfId="686" priority="285">
      <formula>T47&gt;$AG47</formula>
    </cfRule>
  </conditionalFormatting>
  <conditionalFormatting sqref="F54:L55">
    <cfRule type="expression" dxfId="685" priority="281">
      <formula>F$9&gt;=20/24</formula>
    </cfRule>
    <cfRule type="expression" dxfId="684" priority="282">
      <formula>AND(F$9&gt;=14/24,F$9&lt;20/24)</formula>
    </cfRule>
    <cfRule type="expression" dxfId="683" priority="283">
      <formula>AND(F$9&gt;=8/24,F$9&lt;14/24)</formula>
    </cfRule>
    <cfRule type="expression" dxfId="682" priority="284">
      <formula>F$9&lt;8/24</formula>
    </cfRule>
  </conditionalFormatting>
  <conditionalFormatting sqref="F53:L53">
    <cfRule type="expression" dxfId="681" priority="277">
      <formula>F$9&gt;=20/24</formula>
    </cfRule>
    <cfRule type="expression" dxfId="680" priority="278">
      <formula>AND(F$9&gt;=14/24,F$9&lt;20/24)</formula>
    </cfRule>
    <cfRule type="expression" dxfId="679" priority="279">
      <formula>AND(F$9&gt;=8/24,F$9&lt;14/24)</formula>
    </cfRule>
    <cfRule type="expression" dxfId="678" priority="280">
      <formula>F$9&lt;8/24</formula>
    </cfRule>
  </conditionalFormatting>
  <conditionalFormatting sqref="F53:L55">
    <cfRule type="expression" dxfId="677" priority="276">
      <formula>F53&gt;$AG53</formula>
    </cfRule>
  </conditionalFormatting>
  <conditionalFormatting sqref="AG70 AG87 E100:L106 Q67:W69">
    <cfRule type="expression" dxfId="676" priority="272">
      <formula>E$9&gt;=20/24</formula>
    </cfRule>
    <cfRule type="expression" dxfId="675" priority="273">
      <formula>AND(E$9&gt;=14/24,E$9&lt;20/24)</formula>
    </cfRule>
    <cfRule type="expression" dxfId="674" priority="274">
      <formula>AND(E$9&gt;=8/24,E$9&lt;14/24)</formula>
    </cfRule>
    <cfRule type="expression" dxfId="673" priority="275">
      <formula>E$9&lt;8/24</formula>
    </cfRule>
  </conditionalFormatting>
  <conditionalFormatting sqref="AG48 AG66 AG70 Q67:W69">
    <cfRule type="expression" dxfId="672" priority="271">
      <formula>Q48&gt;$AG48</formula>
    </cfRule>
  </conditionalFormatting>
  <conditionalFormatting sqref="AB58:AF58">
    <cfRule type="expression" dxfId="671" priority="267">
      <formula>AB$9&gt;=20/24</formula>
    </cfRule>
    <cfRule type="expression" dxfId="670" priority="268">
      <formula>AND(AB$9&gt;=14/24,AB$9&lt;20/24)</formula>
    </cfRule>
    <cfRule type="expression" dxfId="669" priority="269">
      <formula>AND(AB$9&gt;=8/24,AB$9&lt;14/24)</formula>
    </cfRule>
    <cfRule type="expression" dxfId="668" priority="270">
      <formula>AB$9&lt;8/24</formula>
    </cfRule>
  </conditionalFormatting>
  <conditionalFormatting sqref="AB58:AF58">
    <cfRule type="expression" dxfId="667" priority="266">
      <formula>AB58&gt;$AG58</formula>
    </cfRule>
  </conditionalFormatting>
  <conditionalFormatting sqref="A43">
    <cfRule type="expression" dxfId="666" priority="265">
      <formula>$AH43=0</formula>
    </cfRule>
  </conditionalFormatting>
  <conditionalFormatting sqref="X91:AF95">
    <cfRule type="expression" dxfId="665" priority="261">
      <formula>X$9&gt;=20/24</formula>
    </cfRule>
    <cfRule type="expression" dxfId="664" priority="262">
      <formula>AND(X$9&gt;=14/24,X$9&lt;20/24)</formula>
    </cfRule>
    <cfRule type="expression" dxfId="663" priority="263">
      <formula>AND(X$9&gt;=8/24,X$9&lt;14/24)</formula>
    </cfRule>
    <cfRule type="expression" dxfId="662" priority="264">
      <formula>X$9&lt;8/24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F49:AF51">
    <cfRule type="expression" dxfId="661" priority="257">
      <formula>F$9&gt;=20/24</formula>
    </cfRule>
    <cfRule type="expression" dxfId="660" priority="258">
      <formula>AND(F$9&gt;=14/24,F$9&lt;20/24)</formula>
    </cfRule>
    <cfRule type="expression" dxfId="659" priority="259">
      <formula>AND(F$9&gt;=8/24,F$9&lt;14/24)</formula>
    </cfRule>
    <cfRule type="expression" dxfId="658" priority="260">
      <formula>F$9&lt;8/24</formula>
    </cfRule>
  </conditionalFormatting>
  <conditionalFormatting sqref="F49:AF51">
    <cfRule type="expression" dxfId="657" priority="256">
      <formula>F49&gt;$AG49</formula>
    </cfRule>
  </conditionalFormatting>
  <conditionalFormatting sqref="AG52">
    <cfRule type="expression" dxfId="656" priority="252">
      <formula>AG$9&gt;=20/24</formula>
    </cfRule>
    <cfRule type="expression" dxfId="655" priority="253">
      <formula>AND(AG$9&gt;=14/24,AG$9&lt;20/24)</formula>
    </cfRule>
    <cfRule type="expression" dxfId="654" priority="254">
      <formula>AND(AG$9&gt;=8/24,AG$9&lt;14/24)</formula>
    </cfRule>
    <cfRule type="expression" dxfId="653" priority="255">
      <formula>AG$9&lt;8/24</formula>
    </cfRule>
  </conditionalFormatting>
  <conditionalFormatting sqref="AG52">
    <cfRule type="expression" dxfId="652" priority="251">
      <formula>AG52&gt;$AG52</formula>
    </cfRule>
  </conditionalFormatting>
  <conditionalFormatting sqref="C107:AF107">
    <cfRule type="expression" dxfId="651" priority="247">
      <formula>C$9&gt;=20/24</formula>
    </cfRule>
    <cfRule type="expression" dxfId="650" priority="248">
      <formula>AND(C$9&gt;=14/24,C$9&lt;20/24)</formula>
    </cfRule>
    <cfRule type="expression" dxfId="649" priority="249">
      <formula>AND(C$9&gt;=8/24,C$9&lt;14/24)</formula>
    </cfRule>
    <cfRule type="expression" dxfId="648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647" priority="245">
      <formula>$AH40=0</formula>
    </cfRule>
  </conditionalFormatting>
  <conditionalFormatting sqref="A90">
    <cfRule type="expression" dxfId="646" priority="243">
      <formula>$AH90=0</formula>
    </cfRule>
  </conditionalFormatting>
  <conditionalFormatting sqref="A87">
    <cfRule type="expression" dxfId="645" priority="244">
      <formula>$AH87=0</formula>
    </cfRule>
  </conditionalFormatting>
  <conditionalFormatting sqref="D110:AF110">
    <cfRule type="expression" dxfId="644" priority="239">
      <formula>D$9&gt;=20/24</formula>
    </cfRule>
    <cfRule type="expression" dxfId="643" priority="240">
      <formula>AND(D$9&gt;=14/24,D$9&lt;20/24)</formula>
    </cfRule>
    <cfRule type="expression" dxfId="642" priority="241">
      <formula>AND(D$9&gt;=8/24,D$9&lt;14/24)</formula>
    </cfRule>
    <cfRule type="expression" dxfId="641" priority="242">
      <formula>D$9&lt;8/24</formula>
    </cfRule>
  </conditionalFormatting>
  <conditionalFormatting sqref="A110">
    <cfRule type="expression" dxfId="640" priority="238">
      <formula>$AH110=0</formula>
    </cfRule>
  </conditionalFormatting>
  <conditionalFormatting sqref="A21">
    <cfRule type="expression" dxfId="639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38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637" priority="230">
      <formula>Y$9&gt;=20/24</formula>
    </cfRule>
    <cfRule type="expression" dxfId="636" priority="231">
      <formula>AND(Y$9&gt;=14/24,Y$9&lt;20/24)</formula>
    </cfRule>
    <cfRule type="expression" dxfId="635" priority="232">
      <formula>AND(Y$9&gt;=8/24,Y$9&lt;14/24)</formula>
    </cfRule>
    <cfRule type="expression" dxfId="634" priority="233">
      <formula>Y$9&lt;8/24</formula>
    </cfRule>
  </conditionalFormatting>
  <conditionalFormatting sqref="Y100:AC106">
    <cfRule type="expression" dxfId="633" priority="226">
      <formula>Y$9&gt;=20/24</formula>
    </cfRule>
    <cfRule type="expression" dxfId="632" priority="227">
      <formula>AND(Y$9&gt;=14/24,Y$9&lt;20/24)</formula>
    </cfRule>
    <cfRule type="expression" dxfId="631" priority="228">
      <formula>AND(Y$9&gt;=8/24,Y$9&lt;14/24)</formula>
    </cfRule>
    <cfRule type="expression" dxfId="630" priority="229">
      <formula>Y$9&lt;8/24</formula>
    </cfRule>
  </conditionalFormatting>
  <conditionalFormatting sqref="C109 C111:C116 F17:O18 P34:AF43 P17:AF32">
    <cfRule type="expression" dxfId="629" priority="222">
      <formula>C$9&gt;=20/24</formula>
    </cfRule>
    <cfRule type="expression" dxfId="628" priority="223">
      <formula>AND(C$9&gt;=14/24,C$9&lt;20/24)</formula>
    </cfRule>
    <cfRule type="expression" dxfId="627" priority="224">
      <formula>AND(C$9&gt;=8/24,C$9&lt;14/24)</formula>
    </cfRule>
    <cfRule type="expression" dxfId="626" priority="225">
      <formula>C$9&lt;8/24</formula>
    </cfRule>
  </conditionalFormatting>
  <conditionalFormatting sqref="C47:S47">
    <cfRule type="expression" dxfId="625" priority="218">
      <formula>C$9&gt;=20/24</formula>
    </cfRule>
    <cfRule type="expression" dxfId="624" priority="219">
      <formula>AND(C$9&gt;=14/24,C$9&lt;20/24)</formula>
    </cfRule>
    <cfRule type="expression" dxfId="623" priority="220">
      <formula>AND(C$9&gt;=8/24,C$9&lt;14/24)</formula>
    </cfRule>
    <cfRule type="expression" dxfId="622" priority="221">
      <formula>C$9&lt;8/24</formula>
    </cfRule>
  </conditionalFormatting>
  <conditionalFormatting sqref="C47:S47 F17:O18 P34:AF43 P17:AF32">
    <cfRule type="expression" dxfId="621" priority="217">
      <formula>C17&gt;$AG17</formula>
    </cfRule>
  </conditionalFormatting>
  <conditionalFormatting sqref="C99:D99">
    <cfRule type="expression" dxfId="620" priority="213">
      <formula>C$9&gt;=20/24</formula>
    </cfRule>
    <cfRule type="expression" dxfId="619" priority="214">
      <formula>AND(C$9&gt;=14/24,C$9&lt;20/24)</formula>
    </cfRule>
    <cfRule type="expression" dxfId="618" priority="215">
      <formula>AND(C$9&gt;=8/24,C$9&lt;14/24)</formula>
    </cfRule>
    <cfRule type="expression" dxfId="617" priority="216">
      <formula>C$9&lt;8/24</formula>
    </cfRule>
  </conditionalFormatting>
  <conditionalFormatting sqref="C86 C96:W96 C83:AF85 E67:P69 E74:X76 Y75:AF76">
    <cfRule type="expression" dxfId="616" priority="209">
      <formula>C$9&gt;=20/24</formula>
    </cfRule>
    <cfRule type="expression" dxfId="615" priority="210">
      <formula>AND(C$9&gt;=14/24,C$9&lt;20/24)</formula>
    </cfRule>
    <cfRule type="expression" dxfId="614" priority="211">
      <formula>AND(C$9&gt;=8/24,C$9&lt;14/24)</formula>
    </cfRule>
    <cfRule type="expression" dxfId="613" priority="212">
      <formula>C$9&lt;8/24</formula>
    </cfRule>
  </conditionalFormatting>
  <conditionalFormatting sqref="F56:L57 E67:P69">
    <cfRule type="expression" dxfId="612" priority="208">
      <formula>E56&gt;$AG56</formula>
    </cfRule>
  </conditionalFormatting>
  <conditionalFormatting sqref="F58:L58">
    <cfRule type="expression" dxfId="611" priority="204">
      <formula>F$9&gt;=20/24</formula>
    </cfRule>
    <cfRule type="expression" dxfId="610" priority="205">
      <formula>AND(F$9&gt;=14/24,F$9&lt;20/24)</formula>
    </cfRule>
    <cfRule type="expression" dxfId="609" priority="206">
      <formula>AND(F$9&gt;=8/24,F$9&lt;14/24)</formula>
    </cfRule>
    <cfRule type="expression" dxfId="608" priority="207">
      <formula>F$9&lt;8/24</formula>
    </cfRule>
  </conditionalFormatting>
  <conditionalFormatting sqref="F58:L58">
    <cfRule type="expression" dxfId="607" priority="203">
      <formula>F58&gt;$AG58</formula>
    </cfRule>
  </conditionalFormatting>
  <conditionalFormatting sqref="B71:D71 B54:E57">
    <cfRule type="expression" dxfId="606" priority="132">
      <formula>B$9&gt;=20/24</formula>
    </cfRule>
    <cfRule type="expression" dxfId="605" priority="133">
      <formula>AND(B$9&gt;=14/24,B$9&lt;20/24)</formula>
    </cfRule>
    <cfRule type="expression" dxfId="604" priority="134">
      <formula>AND(B$9&gt;=8/24,B$9&lt;14/24)</formula>
    </cfRule>
    <cfRule type="expression" dxfId="603" priority="135">
      <formula>B$9&lt;8/24</formula>
    </cfRule>
  </conditionalFormatting>
  <conditionalFormatting sqref="C87:AF87 C89:AF89 C98:AF98 C70:AF70">
    <cfRule type="expression" dxfId="602" priority="199">
      <formula>C$9&gt;=20/24</formula>
    </cfRule>
    <cfRule type="expression" dxfId="601" priority="200">
      <formula>AND(C$9&gt;=14/24,C$9&lt;20/24)</formula>
    </cfRule>
    <cfRule type="expression" dxfId="600" priority="201">
      <formula>AND(C$9&gt;=8/24,C$9&lt;14/24)</formula>
    </cfRule>
    <cfRule type="expression" dxfId="599" priority="202">
      <formula>C$9&lt;8/24</formula>
    </cfRule>
  </conditionalFormatting>
  <conditionalFormatting sqref="C70:AF70 C65:AF66">
    <cfRule type="expression" dxfId="598" priority="198">
      <formula>C65&gt;$AG65</formula>
    </cfRule>
  </conditionalFormatting>
  <conditionalFormatting sqref="C82:AF82">
    <cfRule type="expression" dxfId="597" priority="194">
      <formula>C$9&gt;=20/24</formula>
    </cfRule>
    <cfRule type="expression" dxfId="596" priority="195">
      <formula>AND(C$9&gt;=14/24,C$9&lt;20/24)</formula>
    </cfRule>
    <cfRule type="expression" dxfId="595" priority="196">
      <formula>AND(C$9&gt;=8/24,C$9&lt;14/24)</formula>
    </cfRule>
    <cfRule type="expression" dxfId="594" priority="197">
      <formula>C$9&lt;8/24</formula>
    </cfRule>
  </conditionalFormatting>
  <conditionalFormatting sqref="C91:W95">
    <cfRule type="expression" dxfId="593" priority="190">
      <formula>C$9&gt;=20/24</formula>
    </cfRule>
    <cfRule type="expression" dxfId="592" priority="191">
      <formula>AND(C$9&gt;=14/24,C$9&lt;20/24)</formula>
    </cfRule>
    <cfRule type="expression" dxfId="591" priority="192">
      <formula>AND(C$9&gt;=8/24,C$9&lt;14/24)</formula>
    </cfRule>
    <cfRule type="expression" dxfId="590" priority="193">
      <formula>C$9&lt;8/24</formula>
    </cfRule>
  </conditionalFormatting>
  <conditionalFormatting sqref="C52:AF52">
    <cfRule type="expression" dxfId="589" priority="186">
      <formula>C$9&gt;=20/24</formula>
    </cfRule>
    <cfRule type="expression" dxfId="588" priority="187">
      <formula>AND(C$9&gt;=14/24,C$9&lt;20/24)</formula>
    </cfRule>
    <cfRule type="expression" dxfId="587" priority="188">
      <formula>AND(C$9&gt;=8/24,C$9&lt;14/24)</formula>
    </cfRule>
    <cfRule type="expression" dxfId="586" priority="189">
      <formula>C$9&lt;8/24</formula>
    </cfRule>
  </conditionalFormatting>
  <conditionalFormatting sqref="C52:AF52">
    <cfRule type="expression" dxfId="585" priority="185">
      <formula>C52&gt;$AG52</formula>
    </cfRule>
  </conditionalFormatting>
  <conditionalFormatting sqref="B49:E51">
    <cfRule type="expression" dxfId="584" priority="100">
      <formula>B$9&gt;=20/24</formula>
    </cfRule>
    <cfRule type="expression" dxfId="583" priority="101">
      <formula>AND(B$9&gt;=14/24,B$9&lt;20/24)</formula>
    </cfRule>
    <cfRule type="expression" dxfId="582" priority="102">
      <formula>AND(B$9&gt;=8/24,B$9&lt;14/24)</formula>
    </cfRule>
    <cfRule type="expression" dxfId="581" priority="103">
      <formula>B$9&lt;8/24</formula>
    </cfRule>
  </conditionalFormatting>
  <conditionalFormatting sqref="C110">
    <cfRule type="expression" dxfId="580" priority="177">
      <formula>C$9&gt;=20/24</formula>
    </cfRule>
    <cfRule type="expression" dxfId="579" priority="178">
      <formula>AND(C$9&gt;=14/24,C$9&lt;20/24)</formula>
    </cfRule>
    <cfRule type="expression" dxfId="578" priority="179">
      <formula>AND(C$9&gt;=8/24,C$9&lt;14/24)</formula>
    </cfRule>
    <cfRule type="expression" dxfId="577" priority="180">
      <formula>C$9&lt;8/24</formula>
    </cfRule>
  </conditionalFormatting>
  <conditionalFormatting sqref="F59:AF64">
    <cfRule type="expression" dxfId="576" priority="173">
      <formula>F$9&gt;=20/24</formula>
    </cfRule>
    <cfRule type="expression" dxfId="575" priority="174">
      <formula>AND(F$9&gt;=14/24,F$9&lt;20/24)</formula>
    </cfRule>
    <cfRule type="expression" dxfId="574" priority="175">
      <formula>AND(F$9&gt;=8/24,F$9&lt;14/24)</formula>
    </cfRule>
    <cfRule type="expression" dxfId="573" priority="176">
      <formula>F$9&lt;8/24</formula>
    </cfRule>
  </conditionalFormatting>
  <conditionalFormatting sqref="F59:AF64">
    <cfRule type="expression" dxfId="572" priority="172">
      <formula>F59&gt;$AG59</formula>
    </cfRule>
  </conditionalFormatting>
  <conditionalFormatting sqref="P45:AF45 F13:AF15">
    <cfRule type="expression" dxfId="571" priority="171">
      <formula>F13&gt;$AG13</formula>
    </cfRule>
  </conditionalFormatting>
  <conditionalFormatting sqref="F12:AF12">
    <cfRule type="expression" dxfId="570" priority="167">
      <formula>F$9&gt;=20/24</formula>
    </cfRule>
    <cfRule type="expression" dxfId="569" priority="168">
      <formula>AND(F$9&gt;=14/24,F$9&lt;20/24)</formula>
    </cfRule>
    <cfRule type="expression" dxfId="568" priority="169">
      <formula>AND(F$9&gt;=8/24,F$9&lt;14/24)</formula>
    </cfRule>
    <cfRule type="expression" dxfId="567" priority="170">
      <formula>F$9&lt;8/24</formula>
    </cfRule>
  </conditionalFormatting>
  <conditionalFormatting sqref="F12:AF12">
    <cfRule type="expression" dxfId="566" priority="166">
      <formula>F12&gt;$AG12</formula>
    </cfRule>
  </conditionalFormatting>
  <conditionalFormatting sqref="F13:AF15">
    <cfRule type="expression" dxfId="565" priority="162">
      <formula>F$9&gt;=20/24</formula>
    </cfRule>
    <cfRule type="expression" dxfId="564" priority="163">
      <formula>AND(F$9&gt;=14/24,F$9&lt;20/24)</formula>
    </cfRule>
    <cfRule type="expression" dxfId="563" priority="164">
      <formula>AND(F$9&gt;=8/24,F$9&lt;14/24)</formula>
    </cfRule>
    <cfRule type="expression" dxfId="562" priority="165">
      <formula>F$9&lt;8/24</formula>
    </cfRule>
  </conditionalFormatting>
  <conditionalFormatting sqref="P45:AF45">
    <cfRule type="expression" dxfId="561" priority="158">
      <formula>P$9&gt;=20/24</formula>
    </cfRule>
    <cfRule type="expression" dxfId="560" priority="159">
      <formula>AND(P$9&gt;=14/24,P$9&lt;20/24)</formula>
    </cfRule>
    <cfRule type="expression" dxfId="559" priority="160">
      <formula>AND(P$9&gt;=8/24,P$9&lt;14/24)</formula>
    </cfRule>
    <cfRule type="expression" dxfId="558" priority="161">
      <formula>P$9&lt;8/24</formula>
    </cfRule>
  </conditionalFormatting>
  <conditionalFormatting sqref="E77:AF81">
    <cfRule type="expression" dxfId="557" priority="154">
      <formula>E$9&gt;=20/24</formula>
    </cfRule>
    <cfRule type="expression" dxfId="556" priority="155">
      <formula>AND(E$9&gt;=14/24,E$9&lt;20/24)</formula>
    </cfRule>
    <cfRule type="expression" dxfId="555" priority="156">
      <formula>AND(E$9&gt;=8/24,E$9&lt;14/24)</formula>
    </cfRule>
    <cfRule type="expression" dxfId="554" priority="157">
      <formula>E$9&lt;8/24</formula>
    </cfRule>
  </conditionalFormatting>
  <conditionalFormatting sqref="AL78:AN78 AL84:AN84 AN79:AN80">
    <cfRule type="expression" dxfId="553" priority="150">
      <formula>AL$9&gt;=20/24</formula>
    </cfRule>
    <cfRule type="expression" dxfId="552" priority="151">
      <formula>AND(AL$9&gt;=14/24,AL$9&lt;20/24)</formula>
    </cfRule>
    <cfRule type="expression" dxfId="551" priority="152">
      <formula>AND(AL$9&gt;=8/24,AL$9&lt;14/24)</formula>
    </cfRule>
    <cfRule type="expression" dxfId="550" priority="153">
      <formula>AL$9&lt;8/24</formula>
    </cfRule>
  </conditionalFormatting>
  <conditionalFormatting sqref="AN81:AN82">
    <cfRule type="expression" dxfId="549" priority="146">
      <formula>AN$9&gt;=20/24</formula>
    </cfRule>
    <cfRule type="expression" dxfId="548" priority="147">
      <formula>AND(AN$9&gt;=14/24,AN$9&lt;20/24)</formula>
    </cfRule>
    <cfRule type="expression" dxfId="547" priority="148">
      <formula>AND(AN$9&gt;=8/24,AN$9&lt;14/24)</formula>
    </cfRule>
    <cfRule type="expression" dxfId="546" priority="149">
      <formula>AN$9&lt;8/24</formula>
    </cfRule>
  </conditionalFormatting>
  <conditionalFormatting sqref="AL79:AM83">
    <cfRule type="expression" dxfId="545" priority="363">
      <formula>AJ$9&gt;=20/24</formula>
    </cfRule>
    <cfRule type="expression" dxfId="544" priority="364">
      <formula>AND(AJ$9&gt;=14/24,AJ$9&lt;20/24)</formula>
    </cfRule>
    <cfRule type="expression" dxfId="543" priority="365">
      <formula>AND(AJ$9&gt;=8/24,AJ$9&lt;14/24)</formula>
    </cfRule>
    <cfRule type="expression" dxfId="542" priority="366">
      <formula>AJ$9&lt;8/24</formula>
    </cfRule>
  </conditionalFormatting>
  <conditionalFormatting sqref="A117">
    <cfRule type="expression" dxfId="541" priority="145">
      <formula>$AH117=0</formula>
    </cfRule>
  </conditionalFormatting>
  <conditionalFormatting sqref="B109 B111:B116 F19:O32 B12:E15 B17:E32 B34:O43 B45:O45">
    <cfRule type="expression" dxfId="540" priority="141">
      <formula>B$9&gt;=20/24</formula>
    </cfRule>
    <cfRule type="expression" dxfId="539" priority="142">
      <formula>AND(B$9&gt;=14/24,B$9&lt;20/24)</formula>
    </cfRule>
    <cfRule type="expression" dxfId="538" priority="143">
      <formula>AND(B$9&gt;=8/24,B$9&lt;14/24)</formula>
    </cfRule>
    <cfRule type="expression" dxfId="537" priority="144">
      <formula>B$9&lt;8/24</formula>
    </cfRule>
  </conditionalFormatting>
  <conditionalFormatting sqref="F19:O32 B12:E15 B17:E32 B34:O43 B45:O45">
    <cfRule type="expression" dxfId="536" priority="140">
      <formula>B12&gt;$AG12</formula>
    </cfRule>
  </conditionalFormatting>
  <conditionalFormatting sqref="B99">
    <cfRule type="expression" dxfId="535" priority="136">
      <formula>B$9&gt;=20/24</formula>
    </cfRule>
    <cfRule type="expression" dxfId="534" priority="137">
      <formula>AND(B$9&gt;=14/24,B$9&lt;20/24)</formula>
    </cfRule>
    <cfRule type="expression" dxfId="533" priority="138">
      <formula>AND(B$9&gt;=8/24,B$9&lt;14/24)</formula>
    </cfRule>
    <cfRule type="expression" dxfId="532" priority="139">
      <formula>B$9&lt;8/24</formula>
    </cfRule>
  </conditionalFormatting>
  <conditionalFormatting sqref="B53:E53">
    <cfRule type="expression" dxfId="531" priority="128">
      <formula>B$9&gt;=20/24</formula>
    </cfRule>
    <cfRule type="expression" dxfId="530" priority="129">
      <formula>AND(B$9&gt;=14/24,B$9&lt;20/24)</formula>
    </cfRule>
    <cfRule type="expression" dxfId="529" priority="130">
      <formula>AND(B$9&gt;=8/24,B$9&lt;14/24)</formula>
    </cfRule>
    <cfRule type="expression" dxfId="528" priority="131">
      <formula>B$9&lt;8/24</formula>
    </cfRule>
  </conditionalFormatting>
  <conditionalFormatting sqref="B53:E57">
    <cfRule type="expression" dxfId="527" priority="127">
      <formula>B53&gt;$AG53</formula>
    </cfRule>
  </conditionalFormatting>
  <conditionalFormatting sqref="B96 B86 B47 B72:D74 B67:D69 B100:D106">
    <cfRule type="expression" dxfId="526" priority="123">
      <formula>B$9&gt;=20/24</formula>
    </cfRule>
    <cfRule type="expression" dxfId="525" priority="124">
      <formula>AND(B$9&gt;=14/24,B$9&lt;20/24)</formula>
    </cfRule>
    <cfRule type="expression" dxfId="524" priority="125">
      <formula>AND(B$9&gt;=8/24,B$9&lt;14/24)</formula>
    </cfRule>
    <cfRule type="expression" dxfId="523" priority="126">
      <formula>B$9&lt;8/24</formula>
    </cfRule>
  </conditionalFormatting>
  <conditionalFormatting sqref="B47 B67:D69">
    <cfRule type="expression" dxfId="522" priority="122">
      <formula>B47&gt;$AG47</formula>
    </cfRule>
  </conditionalFormatting>
  <conditionalFormatting sqref="B97 B88:C88">
    <cfRule type="expression" dxfId="521" priority="118">
      <formula>B$9&gt;=20/24</formula>
    </cfRule>
    <cfRule type="expression" dxfId="520" priority="119">
      <formula>AND(B$9&gt;=14/24,B$9&lt;20/24)</formula>
    </cfRule>
    <cfRule type="expression" dxfId="519" priority="120">
      <formula>AND(B$9&gt;=8/24,B$9&lt;14/24)</formula>
    </cfRule>
    <cfRule type="expression" dxfId="518" priority="121">
      <formula>B$9&lt;8/24</formula>
    </cfRule>
  </conditionalFormatting>
  <conditionalFormatting sqref="B46:AF46">
    <cfRule type="expression" dxfId="517" priority="114">
      <formula>B$9&gt;=20/24</formula>
    </cfRule>
    <cfRule type="expression" dxfId="516" priority="115">
      <formula>AND(B$9&gt;=14/24,B$9&lt;20/24)</formula>
    </cfRule>
    <cfRule type="expression" dxfId="515" priority="116">
      <formula>AND(B$9&gt;=8/24,B$9&lt;14/24)</formula>
    </cfRule>
    <cfRule type="expression" dxfId="514" priority="117">
      <formula>B$9&lt;8/24</formula>
    </cfRule>
  </conditionalFormatting>
  <conditionalFormatting sqref="B46:AF46">
    <cfRule type="expression" dxfId="513" priority="113">
      <formula>B46&gt;$AG46</formula>
    </cfRule>
  </conditionalFormatting>
  <conditionalFormatting sqref="B58:E58">
    <cfRule type="expression" dxfId="512" priority="109">
      <formula>B$9&gt;=20/24</formula>
    </cfRule>
    <cfRule type="expression" dxfId="511" priority="110">
      <formula>AND(B$9&gt;=14/24,B$9&lt;20/24)</formula>
    </cfRule>
    <cfRule type="expression" dxfId="510" priority="111">
      <formula>AND(B$9&gt;=8/24,B$9&lt;14/24)</formula>
    </cfRule>
    <cfRule type="expression" dxfId="509" priority="112">
      <formula>B$9&lt;8/24</formula>
    </cfRule>
  </conditionalFormatting>
  <conditionalFormatting sqref="B58:E58">
    <cfRule type="expression" dxfId="508" priority="108">
      <formula>B58&gt;$AG58</formula>
    </cfRule>
  </conditionalFormatting>
  <conditionalFormatting sqref="B91:B95">
    <cfRule type="expression" dxfId="507" priority="104">
      <formula>B$9&gt;=20/24</formula>
    </cfRule>
    <cfRule type="expression" dxfId="506" priority="105">
      <formula>AND(B$9&gt;=14/24,B$9&lt;20/24)</formula>
    </cfRule>
    <cfRule type="expression" dxfId="505" priority="106">
      <formula>AND(B$9&gt;=8/24,B$9&lt;14/24)</formula>
    </cfRule>
    <cfRule type="expression" dxfId="504" priority="107">
      <formula>B$9&lt;8/24</formula>
    </cfRule>
  </conditionalFormatting>
  <conditionalFormatting sqref="B49:E51">
    <cfRule type="expression" dxfId="503" priority="99">
      <formula>B49&gt;$AG49</formula>
    </cfRule>
  </conditionalFormatting>
  <conditionalFormatting sqref="B107">
    <cfRule type="expression" dxfId="502" priority="95">
      <formula>B$9&gt;=20/24</formula>
    </cfRule>
    <cfRule type="expression" dxfId="501" priority="96">
      <formula>AND(B$9&gt;=14/24,B$9&lt;20/24)</formula>
    </cfRule>
    <cfRule type="expression" dxfId="500" priority="97">
      <formula>AND(B$9&gt;=8/24,B$9&lt;14/24)</formula>
    </cfRule>
    <cfRule type="expression" dxfId="499" priority="98">
      <formula>B$9&lt;8/24</formula>
    </cfRule>
  </conditionalFormatting>
  <conditionalFormatting sqref="B110">
    <cfRule type="expression" dxfId="498" priority="91">
      <formula>B$9&gt;=20/24</formula>
    </cfRule>
    <cfRule type="expression" dxfId="497" priority="92">
      <formula>AND(B$9&gt;=14/24,B$9&lt;20/24)</formula>
    </cfRule>
    <cfRule type="expression" dxfId="496" priority="93">
      <formula>AND(B$9&gt;=8/24,B$9&lt;14/24)</formula>
    </cfRule>
    <cfRule type="expression" dxfId="495" priority="94">
      <formula>B$9&lt;8/24</formula>
    </cfRule>
  </conditionalFormatting>
  <conditionalFormatting sqref="B83:B85 B75:D76">
    <cfRule type="expression" dxfId="494" priority="87">
      <formula>B$9&gt;=20/24</formula>
    </cfRule>
    <cfRule type="expression" dxfId="493" priority="88">
      <formula>AND(B$9&gt;=14/24,B$9&lt;20/24)</formula>
    </cfRule>
    <cfRule type="expression" dxfId="492" priority="89">
      <formula>AND(B$9&gt;=8/24,B$9&lt;14/24)</formula>
    </cfRule>
    <cfRule type="expression" dxfId="491" priority="90">
      <formula>B$9&lt;8/24</formula>
    </cfRule>
  </conditionalFormatting>
  <conditionalFormatting sqref="B89 B98 B70 B87">
    <cfRule type="expression" dxfId="490" priority="83">
      <formula>B$9&gt;=20/24</formula>
    </cfRule>
    <cfRule type="expression" dxfId="489" priority="84">
      <formula>AND(B$9&gt;=14/24,B$9&lt;20/24)</formula>
    </cfRule>
    <cfRule type="expression" dxfId="488" priority="85">
      <formula>AND(B$9&gt;=8/24,B$9&lt;14/24)</formula>
    </cfRule>
    <cfRule type="expression" dxfId="487" priority="86">
      <formula>B$9&lt;8/24</formula>
    </cfRule>
  </conditionalFormatting>
  <conditionalFormatting sqref="B65:B66 B70 B48:AF48">
    <cfRule type="expression" dxfId="486" priority="82">
      <formula>B48&gt;$AG48</formula>
    </cfRule>
  </conditionalFormatting>
  <conditionalFormatting sqref="B82">
    <cfRule type="expression" dxfId="485" priority="78">
      <formula>B$9&gt;=20/24</formula>
    </cfRule>
    <cfRule type="expression" dxfId="484" priority="79">
      <formula>AND(B$9&gt;=14/24,B$9&lt;20/24)</formula>
    </cfRule>
    <cfRule type="expression" dxfId="483" priority="80">
      <formula>AND(B$9&gt;=8/24,B$9&lt;14/24)</formula>
    </cfRule>
    <cfRule type="expression" dxfId="482" priority="81">
      <formula>B$9&lt;8/24</formula>
    </cfRule>
  </conditionalFormatting>
  <conditionalFormatting sqref="B52">
    <cfRule type="expression" dxfId="481" priority="74">
      <formula>B$9&gt;=20/24</formula>
    </cfRule>
    <cfRule type="expression" dxfId="480" priority="75">
      <formula>AND(B$9&gt;=14/24,B$9&lt;20/24)</formula>
    </cfRule>
    <cfRule type="expression" dxfId="479" priority="76">
      <formula>AND(B$9&gt;=8/24,B$9&lt;14/24)</formula>
    </cfRule>
    <cfRule type="expression" dxfId="478" priority="77">
      <formula>B$9&lt;8/24</formula>
    </cfRule>
  </conditionalFormatting>
  <conditionalFormatting sqref="B52">
    <cfRule type="expression" dxfId="477" priority="73">
      <formula>B52&gt;$AG52</formula>
    </cfRule>
  </conditionalFormatting>
  <conditionalFormatting sqref="B59:E64">
    <cfRule type="expression" dxfId="476" priority="65">
      <formula>B$9&gt;=20/24</formula>
    </cfRule>
    <cfRule type="expression" dxfId="475" priority="66">
      <formula>AND(B$9&gt;=14/24,B$9&lt;20/24)</formula>
    </cfRule>
    <cfRule type="expression" dxfId="474" priority="67">
      <formula>AND(B$9&gt;=8/24,B$9&lt;14/24)</formula>
    </cfRule>
    <cfRule type="expression" dxfId="473" priority="68">
      <formula>B$9&lt;8/24</formula>
    </cfRule>
  </conditionalFormatting>
  <conditionalFormatting sqref="B59:E64">
    <cfRule type="expression" dxfId="472" priority="64">
      <formula>B59&gt;$AG59</formula>
    </cfRule>
  </conditionalFormatting>
  <conditionalFormatting sqref="B77:D81">
    <cfRule type="expression" dxfId="471" priority="60">
      <formula>B$9&gt;=20/24</formula>
    </cfRule>
    <cfRule type="expression" dxfId="470" priority="61">
      <formula>AND(B$9&gt;=14/24,B$9&lt;20/24)</formula>
    </cfRule>
    <cfRule type="expression" dxfId="469" priority="62">
      <formula>AND(B$9&gt;=8/24,B$9&lt;14/24)</formula>
    </cfRule>
    <cfRule type="expression" dxfId="468" priority="63">
      <formula>B$9&lt;8/24</formula>
    </cfRule>
  </conditionalFormatting>
  <conditionalFormatting sqref="A11">
    <cfRule type="expression" dxfId="467" priority="59">
      <formula>$AH11=0</formula>
    </cfRule>
  </conditionalFormatting>
  <conditionalFormatting sqref="F11:AF11">
    <cfRule type="expression" dxfId="466" priority="55">
      <formula>F$9&gt;=20/24</formula>
    </cfRule>
    <cfRule type="expression" dxfId="465" priority="56">
      <formula>AND(F$9&gt;=14/24,F$9&lt;20/24)</formula>
    </cfRule>
    <cfRule type="expression" dxfId="464" priority="57">
      <formula>AND(F$9&gt;=8/24,F$9&lt;14/24)</formula>
    </cfRule>
    <cfRule type="expression" dxfId="463" priority="58">
      <formula>F$9&lt;8/24</formula>
    </cfRule>
  </conditionalFormatting>
  <conditionalFormatting sqref="F11:AF11">
    <cfRule type="expression" dxfId="462" priority="54">
      <formula>F11&gt;$AG11</formula>
    </cfRule>
  </conditionalFormatting>
  <conditionalFormatting sqref="B11:E11">
    <cfRule type="expression" dxfId="461" priority="50">
      <formula>B$9&gt;=20/24</formula>
    </cfRule>
    <cfRule type="expression" dxfId="460" priority="51">
      <formula>AND(B$9&gt;=14/24,B$9&lt;20/24)</formula>
    </cfRule>
    <cfRule type="expression" dxfId="459" priority="52">
      <formula>AND(B$9&gt;=8/24,B$9&lt;14/24)</formula>
    </cfRule>
    <cfRule type="expression" dxfId="458" priority="53">
      <formula>B$9&lt;8/24</formula>
    </cfRule>
  </conditionalFormatting>
  <conditionalFormatting sqref="B11:E11">
    <cfRule type="expression" dxfId="457" priority="49">
      <formula>B11&gt;$AG11</formula>
    </cfRule>
  </conditionalFormatting>
  <conditionalFormatting sqref="A16">
    <cfRule type="expression" dxfId="456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F16:AF16">
    <cfRule type="expression" dxfId="455" priority="43">
      <formula>F$9&gt;=20/24</formula>
    </cfRule>
    <cfRule type="expression" dxfId="454" priority="44">
      <formula>AND(F$9&gt;=14/24,F$9&lt;20/24)</formula>
    </cfRule>
    <cfRule type="expression" dxfId="453" priority="45">
      <formula>AND(F$9&gt;=8/24,F$9&lt;14/24)</formula>
    </cfRule>
    <cfRule type="expression" dxfId="452" priority="46">
      <formula>F$9&lt;8/24</formula>
    </cfRule>
  </conditionalFormatting>
  <conditionalFormatting sqref="F16:AF16">
    <cfRule type="expression" dxfId="451" priority="42">
      <formula>F16&gt;$AG16</formula>
    </cfRule>
  </conditionalFormatting>
  <conditionalFormatting sqref="B16:E16">
    <cfRule type="expression" dxfId="450" priority="38">
      <formula>B$9&gt;=20/24</formula>
    </cfRule>
    <cfRule type="expression" dxfId="449" priority="39">
      <formula>AND(B$9&gt;=14/24,B$9&lt;20/24)</formula>
    </cfRule>
    <cfRule type="expression" dxfId="448" priority="40">
      <formula>AND(B$9&gt;=8/24,B$9&lt;14/24)</formula>
    </cfRule>
    <cfRule type="expression" dxfId="447" priority="41">
      <formula>B$9&lt;8/24</formula>
    </cfRule>
  </conditionalFormatting>
  <conditionalFormatting sqref="B16:E16">
    <cfRule type="expression" dxfId="446" priority="37">
      <formula>B16&gt;$AG16</formula>
    </cfRule>
  </conditionalFormatting>
  <conditionalFormatting sqref="A33">
    <cfRule type="expression" dxfId="445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P33:AF33">
    <cfRule type="expression" dxfId="444" priority="31">
      <formula>P$9&gt;=20/24</formula>
    </cfRule>
    <cfRule type="expression" dxfId="443" priority="32">
      <formula>AND(P$9&gt;=14/24,P$9&lt;20/24)</formula>
    </cfRule>
    <cfRule type="expression" dxfId="442" priority="33">
      <formula>AND(P$9&gt;=8/24,P$9&lt;14/24)</formula>
    </cfRule>
    <cfRule type="expression" dxfId="441" priority="34">
      <formula>P$9&lt;8/24</formula>
    </cfRule>
  </conditionalFormatting>
  <conditionalFormatting sqref="P33:AF33">
    <cfRule type="expression" dxfId="440" priority="30">
      <formula>P33&gt;$AG33</formula>
    </cfRule>
  </conditionalFormatting>
  <conditionalFormatting sqref="B33:O33">
    <cfRule type="expression" dxfId="439" priority="26">
      <formula>B$9&gt;=20/24</formula>
    </cfRule>
    <cfRule type="expression" dxfId="438" priority="27">
      <formula>AND(B$9&gt;=14/24,B$9&lt;20/24)</formula>
    </cfRule>
    <cfRule type="expression" dxfId="437" priority="28">
      <formula>AND(B$9&gt;=8/24,B$9&lt;14/24)</formula>
    </cfRule>
    <cfRule type="expression" dxfId="436" priority="29">
      <formula>B$9&lt;8/24</formula>
    </cfRule>
  </conditionalFormatting>
  <conditionalFormatting sqref="B33:O33">
    <cfRule type="expression" dxfId="435" priority="25">
      <formula>B33&gt;$AG33</formula>
    </cfRule>
  </conditionalFormatting>
  <conditionalFormatting sqref="A44">
    <cfRule type="expression" dxfId="434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P44:AF44">
    <cfRule type="expression" dxfId="433" priority="22">
      <formula>P44&gt;$AG44</formula>
    </cfRule>
  </conditionalFormatting>
  <conditionalFormatting sqref="P44:AF44">
    <cfRule type="expression" dxfId="432" priority="18">
      <formula>P$9&gt;=20/24</formula>
    </cfRule>
    <cfRule type="expression" dxfId="431" priority="19">
      <formula>AND(P$9&gt;=14/24,P$9&lt;20/24)</formula>
    </cfRule>
    <cfRule type="expression" dxfId="430" priority="20">
      <formula>AND(P$9&gt;=8/24,P$9&lt;14/24)</formula>
    </cfRule>
    <cfRule type="expression" dxfId="429" priority="21">
      <formula>P$9&lt;8/24</formula>
    </cfRule>
  </conditionalFormatting>
  <conditionalFormatting sqref="B44:O44">
    <cfRule type="expression" dxfId="428" priority="14">
      <formula>B$9&gt;=20/24</formula>
    </cfRule>
    <cfRule type="expression" dxfId="427" priority="15">
      <formula>AND(B$9&gt;=14/24,B$9&lt;20/24)</formula>
    </cfRule>
    <cfRule type="expression" dxfId="426" priority="16">
      <formula>AND(B$9&gt;=8/24,B$9&lt;14/24)</formula>
    </cfRule>
    <cfRule type="expression" dxfId="425" priority="17">
      <formula>B$9&lt;8/24</formula>
    </cfRule>
  </conditionalFormatting>
  <conditionalFormatting sqref="B44:O44">
    <cfRule type="expression" dxfId="424" priority="13">
      <formula>B44&gt;$AG44</formula>
    </cfRule>
  </conditionalFormatting>
  <conditionalFormatting sqref="B117">
    <cfRule type="expression" dxfId="423" priority="1">
      <formula>B$9&gt;=20/24</formula>
    </cfRule>
    <cfRule type="expression" dxfId="422" priority="2">
      <formula>AND(B$9&gt;=14/24,B$9&lt;20/24)</formula>
    </cfRule>
    <cfRule type="expression" dxfId="421" priority="3">
      <formula>AND(B$9&gt;=8/24,B$9&lt;14/24)</formula>
    </cfRule>
    <cfRule type="expression" dxfId="420" priority="4">
      <formula>B$9&lt;8/24</formula>
    </cfRule>
  </conditionalFormatting>
  <conditionalFormatting sqref="D117:AF117">
    <cfRule type="expression" dxfId="419" priority="9">
      <formula>D$9&gt;=20/24</formula>
    </cfRule>
    <cfRule type="expression" dxfId="418" priority="10">
      <formula>AND(D$9&gt;=14/24,D$9&lt;20/24)</formula>
    </cfRule>
    <cfRule type="expression" dxfId="417" priority="11">
      <formula>AND(D$9&gt;=8/24,D$9&lt;14/24)</formula>
    </cfRule>
    <cfRule type="expression" dxfId="416" priority="12">
      <formula>D$9&lt;8/24</formula>
    </cfRule>
  </conditionalFormatting>
  <conditionalFormatting sqref="C117">
    <cfRule type="expression" dxfId="415" priority="5">
      <formula>C$9&gt;=20/24</formula>
    </cfRule>
    <cfRule type="expression" dxfId="414" priority="6">
      <formula>AND(C$9&gt;=14/24,C$9&lt;20/24)</formula>
    </cfRule>
    <cfRule type="expression" dxfId="413" priority="7">
      <formula>AND(C$9&gt;=8/24,C$9&lt;14/24)</formula>
    </cfRule>
    <cfRule type="expression" dxfId="412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8C84A7DF-3185-4C20-B383-E9A5A282E3A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12269215-C495-4F07-AB61-ABF02C21D96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996A4636-8F14-4E53-9D28-8B7CC6C3EE8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66C08B3B-50A5-45CB-BA99-36169F91DD9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043FD585-347C-49E3-AC31-F5CD5248595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DD45AE26-1F3A-4780-96EC-4F1CA0B6828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6854F4A1-4E6B-43BB-A16C-D6BD52119A5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717353C5-5796-41D5-BD8A-2D3CEB686D9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workbookViewId="0">
      <pane ySplit="10" topLeftCell="A38" activePane="bottomLeft" state="frozen"/>
      <selection activeCell="Z85" sqref="Z85"/>
      <selection pane="bottomLeft" activeCell="B49" sqref="B49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3"/>
      <c r="AM1" s="4"/>
    </row>
    <row r="2" spans="1:88" ht="20.25" x14ac:dyDescent="0.25">
      <c r="A2" s="5"/>
      <c r="B2" s="243" t="s">
        <v>2</v>
      </c>
      <c r="C2" s="6"/>
      <c r="D2" s="245" t="s">
        <v>3</v>
      </c>
      <c r="E2" s="6"/>
      <c r="F2" s="245" t="s">
        <v>4</v>
      </c>
      <c r="G2" s="6"/>
      <c r="H2" s="245" t="s">
        <v>5</v>
      </c>
      <c r="I2" s="7"/>
      <c r="J2" s="247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244"/>
      <c r="C3" s="19"/>
      <c r="D3" s="246"/>
      <c r="E3" s="19"/>
      <c r="F3" s="246"/>
      <c r="G3" s="19"/>
      <c r="H3" s="246"/>
      <c r="I3" s="20"/>
      <c r="J3" s="247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236" t="e">
        <f ca="1">"2079/"&amp;"12/"&amp;INT(MID(CELL("filename",D6),FIND("]",CELL("filename",D6))+1,200))</f>
        <v>#VALUE!</v>
      </c>
      <c r="C4" s="236"/>
      <c r="D4" s="236"/>
      <c r="E4" s="237" t="e">
        <f ca="1">"2079/"&amp;"12/"&amp;INT(MID(CELL("filename",G6),FIND("]",CELL("filename",G6))+1,200))</f>
        <v>#VALUE!</v>
      </c>
      <c r="F4" s="237"/>
      <c r="G4" s="237"/>
      <c r="H4" s="237" t="e">
        <f ca="1">TEXT(E4,"dddd")</f>
        <v>#VALUE!</v>
      </c>
      <c r="I4" s="23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0</v>
      </c>
      <c r="C5" s="33">
        <f t="shared" si="0"/>
        <v>0</v>
      </c>
      <c r="D5" s="33">
        <f t="shared" si="0"/>
        <v>0</v>
      </c>
      <c r="E5" s="33">
        <f t="shared" si="0"/>
        <v>0</v>
      </c>
      <c r="F5" s="33">
        <f t="shared" si="0"/>
        <v>0</v>
      </c>
      <c r="G5" s="33">
        <f t="shared" si="0"/>
        <v>0</v>
      </c>
      <c r="H5" s="33">
        <f t="shared" si="0"/>
        <v>0</v>
      </c>
      <c r="I5" s="33">
        <f t="shared" si="0"/>
        <v>0</v>
      </c>
      <c r="J5" s="33">
        <f t="shared" si="0"/>
        <v>0</v>
      </c>
      <c r="K5" s="33">
        <f t="shared" si="0"/>
        <v>0</v>
      </c>
      <c r="L5" s="33">
        <f t="shared" si="0"/>
        <v>0</v>
      </c>
      <c r="M5" s="33">
        <f t="shared" si="0"/>
        <v>0</v>
      </c>
      <c r="N5" s="33">
        <f t="shared" si="0"/>
        <v>0</v>
      </c>
      <c r="O5" s="33">
        <f t="shared" si="0"/>
        <v>0</v>
      </c>
      <c r="P5" s="33">
        <f t="shared" si="0"/>
        <v>0</v>
      </c>
      <c r="Q5" s="33">
        <f t="shared" si="0"/>
        <v>0</v>
      </c>
      <c r="R5" s="33">
        <f t="shared" si="0"/>
        <v>0</v>
      </c>
      <c r="S5" s="33">
        <f t="shared" si="0"/>
        <v>0</v>
      </c>
      <c r="T5" s="33">
        <f t="shared" si="0"/>
        <v>0</v>
      </c>
      <c r="U5" s="33">
        <f t="shared" si="0"/>
        <v>0</v>
      </c>
      <c r="V5" s="33">
        <f t="shared" si="0"/>
        <v>0</v>
      </c>
      <c r="W5" s="33">
        <f t="shared" si="0"/>
        <v>0</v>
      </c>
      <c r="X5" s="33">
        <f t="shared" si="0"/>
        <v>0</v>
      </c>
      <c r="Y5" s="33">
        <f t="shared" si="0"/>
        <v>0</v>
      </c>
      <c r="Z5" s="33">
        <f t="shared" si="0"/>
        <v>0</v>
      </c>
      <c r="AA5" s="33">
        <f t="shared" si="0"/>
        <v>0</v>
      </c>
      <c r="AB5" s="33">
        <f t="shared" si="0"/>
        <v>0</v>
      </c>
      <c r="AC5" s="33">
        <f t="shared" si="0"/>
        <v>0</v>
      </c>
      <c r="AD5" s="33">
        <f t="shared" si="0"/>
        <v>0</v>
      </c>
      <c r="AE5" s="33">
        <f t="shared" si="0"/>
        <v>0</v>
      </c>
      <c r="AF5" s="33">
        <f>B82</f>
        <v>0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4MW at 4:60hr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Load=4</v>
      </c>
      <c r="B7" s="38">
        <f t="shared" ref="B7:AF7" si="1">B89</f>
        <v>3.54</v>
      </c>
      <c r="C7" s="38">
        <f t="shared" si="1"/>
        <v>3.54</v>
      </c>
      <c r="D7" s="38">
        <f t="shared" si="1"/>
        <v>3.54</v>
      </c>
      <c r="E7" s="38">
        <f t="shared" si="1"/>
        <v>3.54</v>
      </c>
      <c r="F7" s="38">
        <f t="shared" si="1"/>
        <v>3.54</v>
      </c>
      <c r="G7" s="38">
        <f t="shared" si="1"/>
        <v>3.54</v>
      </c>
      <c r="H7" s="38">
        <f t="shared" si="1"/>
        <v>3.54</v>
      </c>
      <c r="I7" s="38">
        <f t="shared" si="1"/>
        <v>3.54</v>
      </c>
      <c r="J7" s="38">
        <f t="shared" si="1"/>
        <v>3.54</v>
      </c>
      <c r="K7" s="38">
        <f t="shared" si="1"/>
        <v>3.54</v>
      </c>
      <c r="L7" s="38">
        <f t="shared" si="1"/>
        <v>3.54</v>
      </c>
      <c r="M7" s="38">
        <f t="shared" si="1"/>
        <v>3.54</v>
      </c>
      <c r="N7" s="38">
        <f>N89</f>
        <v>3.54</v>
      </c>
      <c r="O7" s="38">
        <f t="shared" si="1"/>
        <v>3.54</v>
      </c>
      <c r="P7" s="38">
        <f t="shared" si="1"/>
        <v>3.54</v>
      </c>
      <c r="Q7" s="38">
        <f t="shared" si="1"/>
        <v>3.54</v>
      </c>
      <c r="R7" s="38">
        <f t="shared" si="1"/>
        <v>3.54</v>
      </c>
      <c r="S7" s="38">
        <f t="shared" si="1"/>
        <v>3.54</v>
      </c>
      <c r="T7" s="38">
        <f t="shared" si="1"/>
        <v>3.54</v>
      </c>
      <c r="U7" s="38">
        <f t="shared" si="1"/>
        <v>3.54</v>
      </c>
      <c r="V7" s="38">
        <f t="shared" si="1"/>
        <v>3.54</v>
      </c>
      <c r="W7" s="38">
        <f t="shared" si="1"/>
        <v>3.54</v>
      </c>
      <c r="X7" s="38">
        <f t="shared" si="1"/>
        <v>3.54</v>
      </c>
      <c r="Y7" s="38">
        <f t="shared" si="1"/>
        <v>3.54</v>
      </c>
      <c r="Z7" s="38">
        <f t="shared" si="1"/>
        <v>3.54</v>
      </c>
      <c r="AA7" s="38">
        <f t="shared" si="1"/>
        <v>3.54</v>
      </c>
      <c r="AB7" s="38">
        <f t="shared" si="1"/>
        <v>3.54</v>
      </c>
      <c r="AC7" s="38">
        <f t="shared" si="1"/>
        <v>3.54</v>
      </c>
      <c r="AD7" s="38">
        <f t="shared" si="1"/>
        <v>3.54</v>
      </c>
      <c r="AE7" s="38">
        <f t="shared" si="1"/>
        <v>3.54</v>
      </c>
      <c r="AF7" s="38">
        <f t="shared" si="1"/>
        <v>3.54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1" t="s">
        <v>15</v>
      </c>
      <c r="N8" s="232"/>
      <c r="O8" s="232"/>
      <c r="P8" s="232"/>
      <c r="Q8" s="232"/>
      <c r="R8" s="233"/>
      <c r="S8" s="231" t="s">
        <v>16</v>
      </c>
      <c r="T8" s="232"/>
      <c r="U8" s="232"/>
      <c r="V8" s="232"/>
      <c r="W8" s="232"/>
      <c r="X8" s="232"/>
      <c r="Y8" s="232"/>
      <c r="Z8" s="232"/>
      <c r="AA8" s="233"/>
      <c r="AB8" s="231" t="s">
        <v>17</v>
      </c>
      <c r="AC8" s="232"/>
      <c r="AD8" s="232"/>
      <c r="AE8" s="232"/>
      <c r="AF8" s="23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34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0.22916666666666666</v>
      </c>
      <c r="I9" s="230">
        <v>0.25</v>
      </c>
      <c r="J9" s="230">
        <v>0.27083333333333331</v>
      </c>
      <c r="K9" s="230">
        <v>0.29166666666666669</v>
      </c>
      <c r="L9" s="230">
        <v>0.3125</v>
      </c>
      <c r="M9" s="228">
        <v>0.33333333333333331</v>
      </c>
      <c r="N9" s="228">
        <v>0.375</v>
      </c>
      <c r="O9" s="228">
        <v>0.41666666666666702</v>
      </c>
      <c r="P9" s="228">
        <v>0.45833333333333298</v>
      </c>
      <c r="Q9" s="228">
        <v>0.5</v>
      </c>
      <c r="R9" s="228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0.72916666666666663</v>
      </c>
      <c r="X9" s="224">
        <v>0.75</v>
      </c>
      <c r="Y9" s="224">
        <v>0.77083333333333337</v>
      </c>
      <c r="Z9" s="224">
        <v>0.79166666666666663</v>
      </c>
      <c r="AA9" s="224">
        <v>0.8125</v>
      </c>
      <c r="AB9" s="224">
        <v>0.83333333333333337</v>
      </c>
      <c r="AC9" s="224">
        <v>0.85416666666666663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3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9"/>
      <c r="N10" s="229"/>
      <c r="O10" s="229"/>
      <c r="P10" s="229"/>
      <c r="Q10" s="229"/>
      <c r="R10" s="229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19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1">
        <v>86</v>
      </c>
      <c r="AH11" s="52">
        <f t="shared" ref="AH11:AH74" si="2">MAX(B11:AF11)</f>
        <v>0</v>
      </c>
      <c r="AI11" s="53">
        <f t="shared" ref="AI11:AI74" si="3">MIN(B11:AF11)</f>
        <v>0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20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1">
        <v>52.4</v>
      </c>
      <c r="AH12" s="52">
        <f t="shared" si="2"/>
        <v>0</v>
      </c>
      <c r="AI12" s="53">
        <f t="shared" si="3"/>
        <v>0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21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5">
        <v>50</v>
      </c>
      <c r="AH13" s="52">
        <f t="shared" si="2"/>
        <v>0</v>
      </c>
      <c r="AI13" s="53">
        <f t="shared" si="3"/>
        <v>0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22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5">
        <v>45</v>
      </c>
      <c r="AH14" s="52">
        <f t="shared" si="2"/>
        <v>0</v>
      </c>
      <c r="AI14" s="53">
        <f t="shared" si="3"/>
        <v>0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23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5">
        <v>42</v>
      </c>
      <c r="AH15" s="52">
        <f t="shared" si="2"/>
        <v>0</v>
      </c>
      <c r="AI15" s="53">
        <f t="shared" si="3"/>
        <v>0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24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5">
        <v>36</v>
      </c>
      <c r="AH16" s="52">
        <f t="shared" si="2"/>
        <v>0</v>
      </c>
      <c r="AI16" s="53">
        <f t="shared" si="3"/>
        <v>0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25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5">
        <v>36</v>
      </c>
      <c r="AH17" s="52">
        <f t="shared" si="2"/>
        <v>0</v>
      </c>
      <c r="AI17" s="53">
        <f t="shared" si="3"/>
        <v>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26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6">
        <v>30</v>
      </c>
      <c r="AH18" s="52">
        <f t="shared" si="2"/>
        <v>0</v>
      </c>
      <c r="AI18" s="53">
        <f t="shared" si="3"/>
        <v>0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27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5">
        <v>24.2</v>
      </c>
      <c r="AH19" s="52">
        <f t="shared" si="2"/>
        <v>0</v>
      </c>
      <c r="AI19" s="53">
        <f t="shared" si="3"/>
        <v>0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28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5">
        <v>28</v>
      </c>
      <c r="AH20" s="52">
        <f t="shared" si="2"/>
        <v>0</v>
      </c>
      <c r="AI20" s="53">
        <f t="shared" si="3"/>
        <v>0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29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6">
        <v>30</v>
      </c>
      <c r="AH21" s="52">
        <f t="shared" si="2"/>
        <v>0</v>
      </c>
      <c r="AI21" s="53">
        <f t="shared" si="3"/>
        <v>0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30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5">
        <v>25</v>
      </c>
      <c r="AH22" s="52">
        <f t="shared" si="2"/>
        <v>0</v>
      </c>
      <c r="AI22" s="53">
        <f t="shared" si="3"/>
        <v>0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31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5">
        <v>25</v>
      </c>
      <c r="AH23" s="52">
        <f t="shared" si="2"/>
        <v>0</v>
      </c>
      <c r="AI23" s="53">
        <f t="shared" si="3"/>
        <v>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32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5">
        <v>25</v>
      </c>
      <c r="AH24" s="52">
        <f t="shared" si="2"/>
        <v>0</v>
      </c>
      <c r="AI24" s="53">
        <f t="shared" si="3"/>
        <v>0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5">
        <v>25</v>
      </c>
      <c r="AH25" s="52">
        <f t="shared" si="2"/>
        <v>0</v>
      </c>
      <c r="AI25" s="53">
        <f t="shared" si="3"/>
        <v>0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34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5">
        <v>23.5</v>
      </c>
      <c r="AH26" s="52">
        <f t="shared" si="2"/>
        <v>0</v>
      </c>
      <c r="AI26" s="53">
        <f t="shared" si="3"/>
        <v>0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35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5">
        <v>22.2</v>
      </c>
      <c r="AH27" s="52">
        <f t="shared" si="2"/>
        <v>0</v>
      </c>
      <c r="AI27" s="53">
        <f t="shared" si="3"/>
        <v>0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36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5">
        <v>22.1</v>
      </c>
      <c r="AH28" s="52">
        <f t="shared" si="2"/>
        <v>0</v>
      </c>
      <c r="AI28" s="53">
        <f t="shared" si="3"/>
        <v>0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37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5">
        <v>22</v>
      </c>
      <c r="AH29" s="52">
        <f t="shared" si="2"/>
        <v>0</v>
      </c>
      <c r="AI29" s="53">
        <f t="shared" si="3"/>
        <v>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38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5">
        <v>22</v>
      </c>
      <c r="AH30" s="52">
        <f t="shared" si="2"/>
        <v>0</v>
      </c>
      <c r="AI30" s="53">
        <f t="shared" si="3"/>
        <v>0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39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5">
        <v>20</v>
      </c>
      <c r="AH31" s="52">
        <f t="shared" si="2"/>
        <v>0</v>
      </c>
      <c r="AI31" s="53">
        <f t="shared" si="3"/>
        <v>0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40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5">
        <v>18</v>
      </c>
      <c r="AH32" s="52">
        <f t="shared" si="2"/>
        <v>0</v>
      </c>
      <c r="AI32" s="53">
        <f t="shared" si="3"/>
        <v>0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41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5">
        <v>14.9</v>
      </c>
      <c r="AH33" s="52">
        <f t="shared" si="2"/>
        <v>0</v>
      </c>
      <c r="AI33" s="53">
        <f t="shared" si="3"/>
        <v>0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42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5">
        <v>14.9</v>
      </c>
      <c r="AH34" s="52">
        <f t="shared" si="2"/>
        <v>0</v>
      </c>
      <c r="AI34" s="53">
        <f t="shared" si="3"/>
        <v>0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43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5">
        <v>13.6</v>
      </c>
      <c r="AH35" s="52">
        <f t="shared" si="2"/>
        <v>0</v>
      </c>
      <c r="AI35" s="53">
        <f t="shared" si="3"/>
        <v>0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44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5">
        <v>13</v>
      </c>
      <c r="AH36" s="52">
        <f t="shared" si="2"/>
        <v>0</v>
      </c>
      <c r="AI36" s="53">
        <f t="shared" si="3"/>
        <v>0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45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5">
        <v>12</v>
      </c>
      <c r="AH37" s="52">
        <f t="shared" si="2"/>
        <v>0</v>
      </c>
      <c r="AI37" s="53">
        <f t="shared" si="3"/>
        <v>0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46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5">
        <v>12</v>
      </c>
      <c r="AH38" s="52">
        <f t="shared" si="2"/>
        <v>0</v>
      </c>
      <c r="AI38" s="53">
        <f t="shared" si="3"/>
        <v>0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47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5">
        <v>12</v>
      </c>
      <c r="AH39" s="52">
        <f t="shared" si="2"/>
        <v>0</v>
      </c>
      <c r="AI39" s="53">
        <f t="shared" si="3"/>
        <v>0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48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7">
        <v>22</v>
      </c>
      <c r="AH40" s="52">
        <f t="shared" si="2"/>
        <v>0</v>
      </c>
      <c r="AI40" s="53">
        <f t="shared" si="3"/>
        <v>0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49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6">
        <v>11.88</v>
      </c>
      <c r="AH41" s="52">
        <f t="shared" si="2"/>
        <v>0</v>
      </c>
      <c r="AI41" s="53">
        <f t="shared" si="3"/>
        <v>0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50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61">
        <v>11</v>
      </c>
      <c r="AH42" s="52">
        <f t="shared" si="2"/>
        <v>0</v>
      </c>
      <c r="AI42" s="53">
        <f t="shared" si="3"/>
        <v>0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51</v>
      </c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61">
        <v>10</v>
      </c>
      <c r="AH43" s="52">
        <f t="shared" si="2"/>
        <v>0</v>
      </c>
      <c r="AI43" s="53">
        <f t="shared" si="3"/>
        <v>0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52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61">
        <v>10</v>
      </c>
      <c r="AH44" s="52">
        <f t="shared" si="2"/>
        <v>0</v>
      </c>
      <c r="AI44" s="53">
        <f t="shared" si="3"/>
        <v>0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53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54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1">
        <v>85</v>
      </c>
      <c r="AH46" s="52">
        <f t="shared" si="2"/>
        <v>0</v>
      </c>
      <c r="AI46" s="53">
        <f t="shared" si="3"/>
        <v>0</v>
      </c>
      <c r="AK46" s="54"/>
    </row>
    <row r="47" spans="1:88" ht="15.75" thickBot="1" x14ac:dyDescent="0.3">
      <c r="A47" s="64" t="s">
        <v>55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56</v>
      </c>
      <c r="B48" s="67">
        <f>SUM(B11:B46)</f>
        <v>0</v>
      </c>
      <c r="C48" s="67">
        <f t="shared" ref="C48:AF48" si="4">SUM(C11:C46)</f>
        <v>0</v>
      </c>
      <c r="D48" s="67">
        <f t="shared" si="4"/>
        <v>0</v>
      </c>
      <c r="E48" s="67">
        <f t="shared" si="4"/>
        <v>0</v>
      </c>
      <c r="F48" s="67">
        <f t="shared" si="4"/>
        <v>0</v>
      </c>
      <c r="G48" s="67">
        <f t="shared" si="4"/>
        <v>0</v>
      </c>
      <c r="H48" s="67">
        <f t="shared" si="4"/>
        <v>0</v>
      </c>
      <c r="I48" s="67">
        <f t="shared" si="4"/>
        <v>0</v>
      </c>
      <c r="J48" s="67">
        <f t="shared" si="4"/>
        <v>0</v>
      </c>
      <c r="K48" s="67">
        <f t="shared" si="4"/>
        <v>0</v>
      </c>
      <c r="L48" s="67">
        <f t="shared" si="4"/>
        <v>0</v>
      </c>
      <c r="M48" s="67">
        <f t="shared" si="4"/>
        <v>0</v>
      </c>
      <c r="N48" s="67">
        <f t="shared" si="4"/>
        <v>0</v>
      </c>
      <c r="O48" s="67">
        <f t="shared" si="4"/>
        <v>0</v>
      </c>
      <c r="P48" s="67">
        <f t="shared" si="4"/>
        <v>0</v>
      </c>
      <c r="Q48" s="67">
        <f t="shared" si="4"/>
        <v>0</v>
      </c>
      <c r="R48" s="67">
        <f t="shared" si="4"/>
        <v>0</v>
      </c>
      <c r="S48" s="67">
        <f t="shared" si="4"/>
        <v>0</v>
      </c>
      <c r="T48" s="67">
        <f t="shared" si="4"/>
        <v>0</v>
      </c>
      <c r="U48" s="67">
        <f t="shared" si="4"/>
        <v>0</v>
      </c>
      <c r="V48" s="67">
        <f t="shared" si="4"/>
        <v>0</v>
      </c>
      <c r="W48" s="67">
        <f t="shared" si="4"/>
        <v>0</v>
      </c>
      <c r="X48" s="67">
        <f t="shared" si="4"/>
        <v>0</v>
      </c>
      <c r="Y48" s="67">
        <f t="shared" si="4"/>
        <v>0</v>
      </c>
      <c r="Z48" s="67">
        <f t="shared" si="4"/>
        <v>0</v>
      </c>
      <c r="AA48" s="67">
        <f t="shared" si="4"/>
        <v>0</v>
      </c>
      <c r="AB48" s="67">
        <f t="shared" si="4"/>
        <v>0</v>
      </c>
      <c r="AC48" s="67">
        <f t="shared" si="4"/>
        <v>0</v>
      </c>
      <c r="AD48" s="67">
        <f t="shared" si="4"/>
        <v>0</v>
      </c>
      <c r="AE48" s="67">
        <f t="shared" si="4"/>
        <v>0</v>
      </c>
      <c r="AF48" s="67">
        <f t="shared" si="4"/>
        <v>0</v>
      </c>
      <c r="AG48" s="68">
        <f t="shared" ref="AG48" si="5">SUM(AG12:AG46)</f>
        <v>875.68</v>
      </c>
      <c r="AH48" s="52">
        <f t="shared" si="2"/>
        <v>0</v>
      </c>
      <c r="AI48" s="53">
        <f t="shared" si="3"/>
        <v>0</v>
      </c>
      <c r="AK48" s="54"/>
    </row>
    <row r="49" spans="1:41" x14ac:dyDescent="0.25">
      <c r="A49" s="69" t="s">
        <v>57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70"/>
      <c r="N49" s="7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6">
        <v>456</v>
      </c>
      <c r="AH49" s="52">
        <f t="shared" si="2"/>
        <v>0</v>
      </c>
      <c r="AI49" s="53">
        <f t="shared" si="3"/>
        <v>0</v>
      </c>
      <c r="AK49" s="54"/>
    </row>
    <row r="50" spans="1:41" x14ac:dyDescent="0.25">
      <c r="A50" s="71" t="s">
        <v>58</v>
      </c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61">
        <v>60</v>
      </c>
      <c r="AH50" s="52">
        <f t="shared" si="2"/>
        <v>0</v>
      </c>
      <c r="AI50" s="53">
        <f t="shared" si="3"/>
        <v>0</v>
      </c>
      <c r="AK50" s="54"/>
    </row>
    <row r="51" spans="1:41" ht="15.75" thickBot="1" x14ac:dyDescent="0.3">
      <c r="A51" s="73" t="s">
        <v>59</v>
      </c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5">
        <v>22.1</v>
      </c>
      <c r="AH51" s="52">
        <f t="shared" si="2"/>
        <v>0</v>
      </c>
      <c r="AI51" s="53">
        <f t="shared" si="3"/>
        <v>0</v>
      </c>
      <c r="AK51" s="54"/>
    </row>
    <row r="52" spans="1:41" ht="15.75" thickBot="1" x14ac:dyDescent="0.3">
      <c r="A52" s="76" t="s">
        <v>60</v>
      </c>
      <c r="B52" s="67">
        <f t="shared" ref="B52:AG52" si="6">SUM(B49:B51)</f>
        <v>0</v>
      </c>
      <c r="C52" s="67">
        <f t="shared" si="6"/>
        <v>0</v>
      </c>
      <c r="D52" s="67">
        <f t="shared" si="6"/>
        <v>0</v>
      </c>
      <c r="E52" s="67">
        <f t="shared" si="6"/>
        <v>0</v>
      </c>
      <c r="F52" s="67">
        <f t="shared" si="6"/>
        <v>0</v>
      </c>
      <c r="G52" s="67">
        <f t="shared" si="6"/>
        <v>0</v>
      </c>
      <c r="H52" s="67">
        <f t="shared" si="6"/>
        <v>0</v>
      </c>
      <c r="I52" s="67">
        <f t="shared" si="6"/>
        <v>0</v>
      </c>
      <c r="J52" s="67">
        <f t="shared" si="6"/>
        <v>0</v>
      </c>
      <c r="K52" s="67">
        <f t="shared" si="6"/>
        <v>0</v>
      </c>
      <c r="L52" s="67">
        <f t="shared" si="6"/>
        <v>0</v>
      </c>
      <c r="M52" s="67">
        <f t="shared" si="6"/>
        <v>0</v>
      </c>
      <c r="N52" s="67">
        <f t="shared" si="6"/>
        <v>0</v>
      </c>
      <c r="O52" s="67">
        <f t="shared" si="6"/>
        <v>0</v>
      </c>
      <c r="P52" s="67">
        <f t="shared" si="6"/>
        <v>0</v>
      </c>
      <c r="Q52" s="67">
        <f t="shared" si="6"/>
        <v>0</v>
      </c>
      <c r="R52" s="67">
        <f t="shared" si="6"/>
        <v>0</v>
      </c>
      <c r="S52" s="67">
        <f t="shared" si="6"/>
        <v>0</v>
      </c>
      <c r="T52" s="67">
        <f t="shared" si="6"/>
        <v>0</v>
      </c>
      <c r="U52" s="67">
        <f t="shared" si="6"/>
        <v>0</v>
      </c>
      <c r="V52" s="67">
        <f t="shared" si="6"/>
        <v>0</v>
      </c>
      <c r="W52" s="67">
        <f t="shared" si="6"/>
        <v>0</v>
      </c>
      <c r="X52" s="67">
        <f t="shared" si="6"/>
        <v>0</v>
      </c>
      <c r="Y52" s="67">
        <f t="shared" si="6"/>
        <v>0</v>
      </c>
      <c r="Z52" s="67">
        <f t="shared" si="6"/>
        <v>0</v>
      </c>
      <c r="AA52" s="67">
        <f t="shared" si="6"/>
        <v>0</v>
      </c>
      <c r="AB52" s="67">
        <f t="shared" si="6"/>
        <v>0</v>
      </c>
      <c r="AC52" s="67">
        <f t="shared" si="6"/>
        <v>0</v>
      </c>
      <c r="AD52" s="67">
        <f t="shared" si="6"/>
        <v>0</v>
      </c>
      <c r="AE52" s="67">
        <f t="shared" si="6"/>
        <v>0</v>
      </c>
      <c r="AF52" s="67">
        <f t="shared" si="6"/>
        <v>0</v>
      </c>
      <c r="AG52" s="68">
        <f t="shared" si="6"/>
        <v>538.1</v>
      </c>
      <c r="AH52" s="52">
        <f t="shared" si="2"/>
        <v>0</v>
      </c>
      <c r="AI52" s="53">
        <f t="shared" si="3"/>
        <v>0</v>
      </c>
      <c r="AK52" s="54"/>
    </row>
    <row r="53" spans="1:41" x14ac:dyDescent="0.25">
      <c r="A53" s="49" t="s">
        <v>61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6">
        <v>144</v>
      </c>
      <c r="AH53" s="52">
        <f t="shared" si="2"/>
        <v>0</v>
      </c>
      <c r="AI53" s="53">
        <f t="shared" si="3"/>
        <v>0</v>
      </c>
      <c r="AK53" s="54"/>
    </row>
    <row r="54" spans="1:41" x14ac:dyDescent="0.25">
      <c r="A54" s="60" t="s">
        <v>62</v>
      </c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72"/>
      <c r="AC54" s="72"/>
      <c r="AD54" s="72"/>
      <c r="AE54" s="72"/>
      <c r="AF54" s="72"/>
      <c r="AG54" s="61">
        <v>70</v>
      </c>
      <c r="AH54" s="52">
        <f t="shared" si="2"/>
        <v>0</v>
      </c>
      <c r="AI54" s="53">
        <f t="shared" si="3"/>
        <v>0</v>
      </c>
      <c r="AK54" s="54"/>
    </row>
    <row r="55" spans="1:41" x14ac:dyDescent="0.25">
      <c r="A55" s="60" t="s">
        <v>63</v>
      </c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72"/>
      <c r="AC55" s="72"/>
      <c r="AD55" s="72"/>
      <c r="AE55" s="72"/>
      <c r="AF55" s="72"/>
      <c r="AG55" s="61">
        <v>69</v>
      </c>
      <c r="AH55" s="52">
        <f t="shared" si="2"/>
        <v>0</v>
      </c>
      <c r="AI55" s="53">
        <f t="shared" si="3"/>
        <v>0</v>
      </c>
      <c r="AK55" s="54"/>
    </row>
    <row r="56" spans="1:41" x14ac:dyDescent="0.25">
      <c r="A56" s="60" t="s">
        <v>64</v>
      </c>
      <c r="B56" s="72"/>
      <c r="C56" s="72"/>
      <c r="D56" s="72"/>
      <c r="E56" s="63"/>
      <c r="F56" s="63"/>
      <c r="G56" s="63"/>
      <c r="H56" s="63"/>
      <c r="I56" s="63"/>
      <c r="J56" s="63"/>
      <c r="K56" s="63"/>
      <c r="L56" s="63"/>
      <c r="M56" s="72"/>
      <c r="N56" s="72"/>
      <c r="O56" s="72"/>
      <c r="P56" s="72"/>
      <c r="Q56" s="72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72"/>
      <c r="AC56" s="72"/>
      <c r="AD56" s="72"/>
      <c r="AE56" s="72"/>
      <c r="AF56" s="72"/>
      <c r="AG56" s="61">
        <v>60</v>
      </c>
      <c r="AH56" s="52">
        <f t="shared" si="2"/>
        <v>0</v>
      </c>
      <c r="AI56" s="53">
        <f t="shared" si="3"/>
        <v>0</v>
      </c>
      <c r="AK56" s="54"/>
    </row>
    <row r="57" spans="1:41" x14ac:dyDescent="0.25">
      <c r="A57" s="60" t="s">
        <v>65</v>
      </c>
      <c r="B57" s="72"/>
      <c r="C57" s="72"/>
      <c r="D57" s="72"/>
      <c r="E57" s="63"/>
      <c r="F57" s="63"/>
      <c r="G57" s="63"/>
      <c r="H57" s="63"/>
      <c r="I57" s="63"/>
      <c r="J57" s="63"/>
      <c r="K57" s="63"/>
      <c r="L57" s="63"/>
      <c r="M57" s="72"/>
      <c r="N57" s="72"/>
      <c r="O57" s="72"/>
      <c r="P57" s="72"/>
      <c r="Q57" s="72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72"/>
      <c r="AC57" s="72"/>
      <c r="AD57" s="72"/>
      <c r="AE57" s="72"/>
      <c r="AF57" s="72"/>
      <c r="AG57" s="61">
        <v>30</v>
      </c>
      <c r="AH57" s="52">
        <f t="shared" si="2"/>
        <v>0</v>
      </c>
      <c r="AI57" s="53">
        <f t="shared" si="3"/>
        <v>0</v>
      </c>
      <c r="AK57" s="54"/>
    </row>
    <row r="58" spans="1:41" x14ac:dyDescent="0.25">
      <c r="A58" s="60" t="s">
        <v>66</v>
      </c>
      <c r="B58" s="72"/>
      <c r="C58" s="72"/>
      <c r="D58" s="72"/>
      <c r="E58" s="50"/>
      <c r="F58" s="50"/>
      <c r="G58" s="50"/>
      <c r="H58" s="50"/>
      <c r="I58" s="50"/>
      <c r="J58" s="50"/>
      <c r="K58" s="50"/>
      <c r="L58" s="50"/>
      <c r="M58" s="72"/>
      <c r="N58" s="72"/>
      <c r="O58" s="72"/>
      <c r="P58" s="72"/>
      <c r="Q58" s="72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72"/>
      <c r="AC58" s="72"/>
      <c r="AD58" s="72"/>
      <c r="AE58" s="72"/>
      <c r="AF58" s="72"/>
      <c r="AG58" s="61">
        <v>25</v>
      </c>
      <c r="AH58" s="52">
        <f t="shared" si="2"/>
        <v>0</v>
      </c>
      <c r="AI58" s="53">
        <f t="shared" si="3"/>
        <v>0</v>
      </c>
      <c r="AK58" s="54"/>
    </row>
    <row r="59" spans="1:41" x14ac:dyDescent="0.25">
      <c r="A59" s="60" t="s">
        <v>67</v>
      </c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61">
        <v>24</v>
      </c>
      <c r="AH59" s="52">
        <f t="shared" si="2"/>
        <v>0</v>
      </c>
      <c r="AI59" s="53">
        <f t="shared" si="3"/>
        <v>0</v>
      </c>
      <c r="AK59" s="54"/>
    </row>
    <row r="60" spans="1:41" x14ac:dyDescent="0.25">
      <c r="A60" s="60" t="s">
        <v>68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69</v>
      </c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61">
        <v>14.1</v>
      </c>
      <c r="AH61" s="52">
        <f t="shared" si="2"/>
        <v>0</v>
      </c>
      <c r="AI61" s="53">
        <f t="shared" si="3"/>
        <v>0</v>
      </c>
      <c r="AJ61" s="1"/>
      <c r="AK61" s="54"/>
      <c r="AL61" s="2"/>
      <c r="AM61" s="2"/>
      <c r="AN61" s="2"/>
      <c r="AO61" s="2"/>
    </row>
    <row r="62" spans="1:41" x14ac:dyDescent="0.25">
      <c r="A62" s="78" t="s">
        <v>70</v>
      </c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61">
        <v>14</v>
      </c>
      <c r="AH62" s="52">
        <f t="shared" si="2"/>
        <v>0</v>
      </c>
      <c r="AI62" s="53">
        <f t="shared" si="3"/>
        <v>0</v>
      </c>
      <c r="AK62" s="54"/>
    </row>
    <row r="63" spans="1:41" x14ac:dyDescent="0.25">
      <c r="A63" s="60" t="s">
        <v>71</v>
      </c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61">
        <v>10.050000000000001</v>
      </c>
      <c r="AH63" s="52">
        <f t="shared" si="2"/>
        <v>0</v>
      </c>
      <c r="AI63" s="53">
        <f t="shared" si="3"/>
        <v>0</v>
      </c>
      <c r="AK63" s="54"/>
    </row>
    <row r="64" spans="1:41" x14ac:dyDescent="0.25">
      <c r="A64" s="60" t="s">
        <v>72</v>
      </c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61">
        <v>6.2</v>
      </c>
      <c r="AH64" s="52">
        <f t="shared" si="2"/>
        <v>0</v>
      </c>
      <c r="AI64" s="53">
        <f t="shared" si="3"/>
        <v>0</v>
      </c>
      <c r="AK64" s="54"/>
    </row>
    <row r="65" spans="1:40" ht="15.75" thickBot="1" x14ac:dyDescent="0.3">
      <c r="A65" s="62" t="s">
        <v>73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74</v>
      </c>
      <c r="B66" s="67">
        <f t="shared" ref="B66:AG66" si="7">SUM(B53:B65)</f>
        <v>3.54</v>
      </c>
      <c r="C66" s="67">
        <f t="shared" si="7"/>
        <v>3.54</v>
      </c>
      <c r="D66" s="67">
        <f t="shared" si="7"/>
        <v>3.54</v>
      </c>
      <c r="E66" s="67">
        <f t="shared" si="7"/>
        <v>3.54</v>
      </c>
      <c r="F66" s="67">
        <f t="shared" si="7"/>
        <v>3.54</v>
      </c>
      <c r="G66" s="67">
        <f t="shared" si="7"/>
        <v>3.54</v>
      </c>
      <c r="H66" s="67">
        <f t="shared" si="7"/>
        <v>3.54</v>
      </c>
      <c r="I66" s="67">
        <f t="shared" si="7"/>
        <v>3.54</v>
      </c>
      <c r="J66" s="67">
        <f t="shared" si="7"/>
        <v>3.54</v>
      </c>
      <c r="K66" s="67">
        <f t="shared" si="7"/>
        <v>3.54</v>
      </c>
      <c r="L66" s="67">
        <f t="shared" si="7"/>
        <v>3.54</v>
      </c>
      <c r="M66" s="67">
        <f t="shared" si="7"/>
        <v>3.54</v>
      </c>
      <c r="N66" s="67">
        <f t="shared" si="7"/>
        <v>3.54</v>
      </c>
      <c r="O66" s="67">
        <f t="shared" si="7"/>
        <v>3.54</v>
      </c>
      <c r="P66" s="67">
        <f t="shared" si="7"/>
        <v>3.54</v>
      </c>
      <c r="Q66" s="67">
        <f t="shared" si="7"/>
        <v>3.54</v>
      </c>
      <c r="R66" s="67">
        <f t="shared" si="7"/>
        <v>3.54</v>
      </c>
      <c r="S66" s="67">
        <f t="shared" si="7"/>
        <v>3.54</v>
      </c>
      <c r="T66" s="67">
        <f t="shared" si="7"/>
        <v>3.54</v>
      </c>
      <c r="U66" s="67">
        <f t="shared" si="7"/>
        <v>3.54</v>
      </c>
      <c r="V66" s="67">
        <f t="shared" si="7"/>
        <v>3.54</v>
      </c>
      <c r="W66" s="67">
        <f t="shared" si="7"/>
        <v>3.54</v>
      </c>
      <c r="X66" s="67">
        <f t="shared" si="7"/>
        <v>3.54</v>
      </c>
      <c r="Y66" s="67">
        <f t="shared" si="7"/>
        <v>3.54</v>
      </c>
      <c r="Z66" s="67">
        <f t="shared" si="7"/>
        <v>3.54</v>
      </c>
      <c r="AA66" s="67">
        <f t="shared" si="7"/>
        <v>3.54</v>
      </c>
      <c r="AB66" s="67">
        <f t="shared" si="7"/>
        <v>3.54</v>
      </c>
      <c r="AC66" s="67">
        <f t="shared" si="7"/>
        <v>3.54</v>
      </c>
      <c r="AD66" s="67">
        <f t="shared" si="7"/>
        <v>3.54</v>
      </c>
      <c r="AE66" s="67">
        <f t="shared" si="7"/>
        <v>3.54</v>
      </c>
      <c r="AF66" s="67">
        <f t="shared" si="7"/>
        <v>3.54</v>
      </c>
      <c r="AG66" s="68">
        <f t="shared" si="7"/>
        <v>489.91</v>
      </c>
      <c r="AH66" s="52">
        <f t="shared" si="2"/>
        <v>3.54</v>
      </c>
      <c r="AI66" s="53">
        <f t="shared" si="3"/>
        <v>3.54</v>
      </c>
      <c r="AK66" s="54"/>
    </row>
    <row r="67" spans="1:40" x14ac:dyDescent="0.25">
      <c r="A67" s="49" t="s">
        <v>75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6">
        <v>60</v>
      </c>
      <c r="AH67" s="52">
        <f t="shared" si="2"/>
        <v>0</v>
      </c>
      <c r="AI67" s="53">
        <f t="shared" si="3"/>
        <v>0</v>
      </c>
      <c r="AK67" s="54"/>
    </row>
    <row r="68" spans="1:40" x14ac:dyDescent="0.25">
      <c r="A68" s="60" t="s">
        <v>76</v>
      </c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50"/>
      <c r="R68" s="50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50"/>
      <c r="AG68" s="61">
        <v>32</v>
      </c>
      <c r="AH68" s="52">
        <f t="shared" si="2"/>
        <v>0</v>
      </c>
      <c r="AI68" s="53">
        <f t="shared" si="3"/>
        <v>0</v>
      </c>
      <c r="AK68" s="54"/>
    </row>
    <row r="69" spans="1:40" ht="15.75" thickBot="1" x14ac:dyDescent="0.3">
      <c r="A69" s="78" t="s">
        <v>77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50"/>
      <c r="R69" s="50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50"/>
      <c r="AG69" s="75">
        <v>14</v>
      </c>
      <c r="AH69" s="52">
        <f t="shared" si="2"/>
        <v>0</v>
      </c>
      <c r="AI69" s="53">
        <f t="shared" si="3"/>
        <v>0</v>
      </c>
      <c r="AK69" s="54"/>
    </row>
    <row r="70" spans="1:40" ht="15.75" thickBot="1" x14ac:dyDescent="0.3">
      <c r="A70" s="81" t="s">
        <v>78</v>
      </c>
      <c r="B70" s="67">
        <f>B67+B68+B69</f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0</v>
      </c>
      <c r="M70" s="67">
        <f t="shared" ref="M70:AF70" si="8">M67+M68+M69</f>
        <v>0</v>
      </c>
      <c r="N70" s="67">
        <f t="shared" si="8"/>
        <v>0</v>
      </c>
      <c r="O70" s="67">
        <f t="shared" si="8"/>
        <v>0</v>
      </c>
      <c r="P70" s="67">
        <f t="shared" si="8"/>
        <v>0</v>
      </c>
      <c r="Q70" s="67">
        <f t="shared" si="8"/>
        <v>0</v>
      </c>
      <c r="R70" s="67">
        <f t="shared" si="8"/>
        <v>0</v>
      </c>
      <c r="S70" s="67">
        <f t="shared" si="8"/>
        <v>0</v>
      </c>
      <c r="T70" s="67">
        <f t="shared" si="8"/>
        <v>0</v>
      </c>
      <c r="U70" s="67">
        <f t="shared" si="8"/>
        <v>0</v>
      </c>
      <c r="V70" s="67">
        <f t="shared" si="8"/>
        <v>0</v>
      </c>
      <c r="W70" s="67">
        <f t="shared" si="8"/>
        <v>0</v>
      </c>
      <c r="X70" s="67">
        <f t="shared" si="8"/>
        <v>0</v>
      </c>
      <c r="Y70" s="67">
        <f t="shared" si="8"/>
        <v>0</v>
      </c>
      <c r="Z70" s="67">
        <f t="shared" si="8"/>
        <v>0</v>
      </c>
      <c r="AA70" s="67">
        <f t="shared" si="8"/>
        <v>0</v>
      </c>
      <c r="AB70" s="67">
        <f t="shared" si="8"/>
        <v>0</v>
      </c>
      <c r="AC70" s="67">
        <f t="shared" si="8"/>
        <v>0</v>
      </c>
      <c r="AD70" s="67">
        <f t="shared" si="8"/>
        <v>0</v>
      </c>
      <c r="AE70" s="67">
        <f t="shared" si="8"/>
        <v>0</v>
      </c>
      <c r="AF70" s="67">
        <f t="shared" si="8"/>
        <v>0</v>
      </c>
      <c r="AG70" s="68">
        <f>SUM(AG67:AG69)</f>
        <v>106</v>
      </c>
      <c r="AH70" s="52">
        <f t="shared" si="2"/>
        <v>0</v>
      </c>
      <c r="AI70" s="53">
        <f t="shared" si="3"/>
        <v>0</v>
      </c>
      <c r="AK70" s="54"/>
    </row>
    <row r="71" spans="1:40" x14ac:dyDescent="0.25">
      <c r="A71" s="49" t="s">
        <v>79</v>
      </c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6"/>
      <c r="AH71" s="52">
        <f t="shared" si="2"/>
        <v>0</v>
      </c>
      <c r="AI71" s="53">
        <f t="shared" si="3"/>
        <v>0</v>
      </c>
      <c r="AK71" s="54"/>
    </row>
    <row r="72" spans="1:40" x14ac:dyDescent="0.25">
      <c r="A72" s="60" t="s">
        <v>80</v>
      </c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81</v>
      </c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82"/>
      <c r="AH73" s="52">
        <f t="shared" si="2"/>
        <v>0</v>
      </c>
      <c r="AI73" s="53">
        <f t="shared" si="3"/>
        <v>0</v>
      </c>
      <c r="AK73" s="54"/>
    </row>
    <row r="74" spans="1:40" x14ac:dyDescent="0.25">
      <c r="A74" s="60" t="s">
        <v>82</v>
      </c>
      <c r="B74" s="72"/>
      <c r="C74" s="72"/>
      <c r="D74" s="72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72"/>
      <c r="Z74" s="72"/>
      <c r="AA74" s="72"/>
      <c r="AB74" s="72"/>
      <c r="AC74" s="72"/>
      <c r="AD74" s="72"/>
      <c r="AE74" s="72"/>
      <c r="AF74" s="72"/>
      <c r="AG74" s="82"/>
      <c r="AH74" s="52">
        <f t="shared" si="2"/>
        <v>0</v>
      </c>
      <c r="AI74" s="53">
        <f t="shared" si="3"/>
        <v>0</v>
      </c>
      <c r="AK74" s="54"/>
    </row>
    <row r="75" spans="1:40" x14ac:dyDescent="0.25">
      <c r="A75" s="60" t="s">
        <v>83</v>
      </c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82"/>
      <c r="AH75" s="52">
        <f t="shared" ref="AH75:AH117" si="9">MAX(B75:AF75)</f>
        <v>0</v>
      </c>
      <c r="AI75" s="53">
        <f t="shared" ref="AI75:AI117" si="10">MIN(B75:AF75)</f>
        <v>0</v>
      </c>
      <c r="AK75" s="54"/>
    </row>
    <row r="76" spans="1:40" x14ac:dyDescent="0.25">
      <c r="A76" s="60" t="s">
        <v>84</v>
      </c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2"/>
      <c r="AH76" s="52">
        <f t="shared" si="9"/>
        <v>0</v>
      </c>
      <c r="AI76" s="53">
        <f t="shared" si="10"/>
        <v>0</v>
      </c>
      <c r="AK76" s="54"/>
    </row>
    <row r="77" spans="1:40" ht="15.75" thickBot="1" x14ac:dyDescent="0.3">
      <c r="A77" s="60" t="s">
        <v>85</v>
      </c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2"/>
      <c r="AH77" s="52">
        <f t="shared" si="9"/>
        <v>0</v>
      </c>
      <c r="AI77" s="53">
        <f t="shared" si="10"/>
        <v>0</v>
      </c>
      <c r="AK77" s="54"/>
      <c r="AL77" s="85" t="s">
        <v>86</v>
      </c>
      <c r="AM77" s="85"/>
    </row>
    <row r="78" spans="1:40" x14ac:dyDescent="0.25">
      <c r="A78" s="60" t="s">
        <v>87</v>
      </c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2"/>
      <c r="AH78" s="52">
        <f t="shared" si="9"/>
        <v>0</v>
      </c>
      <c r="AI78" s="53">
        <f t="shared" si="10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88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2"/>
      <c r="AH79" s="52">
        <f t="shared" si="9"/>
        <v>0</v>
      </c>
      <c r="AI79" s="53">
        <f t="shared" si="10"/>
        <v>0</v>
      </c>
      <c r="AK79" s="89" t="s">
        <v>89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90</v>
      </c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92"/>
      <c r="AH80" s="52">
        <f t="shared" si="9"/>
        <v>0</v>
      </c>
      <c r="AI80" s="53">
        <f t="shared" si="10"/>
        <v>0</v>
      </c>
      <c r="AK80" s="89" t="s">
        <v>91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92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92"/>
      <c r="AH81" s="52">
        <f t="shared" si="9"/>
        <v>0</v>
      </c>
      <c r="AI81" s="53">
        <f t="shared" si="10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93</v>
      </c>
      <c r="B82" s="67">
        <f t="shared" ref="B82:AF82" si="11">SUMIF(B71:B81,"&gt;0")</f>
        <v>0</v>
      </c>
      <c r="C82" s="67">
        <f t="shared" si="11"/>
        <v>0</v>
      </c>
      <c r="D82" s="67">
        <f t="shared" si="11"/>
        <v>0</v>
      </c>
      <c r="E82" s="67">
        <f t="shared" si="11"/>
        <v>0</v>
      </c>
      <c r="F82" s="67">
        <f t="shared" si="11"/>
        <v>0</v>
      </c>
      <c r="G82" s="67">
        <f t="shared" si="11"/>
        <v>0</v>
      </c>
      <c r="H82" s="67">
        <f t="shared" si="11"/>
        <v>0</v>
      </c>
      <c r="I82" s="67">
        <f t="shared" si="11"/>
        <v>0</v>
      </c>
      <c r="J82" s="67">
        <f t="shared" si="11"/>
        <v>0</v>
      </c>
      <c r="K82" s="67">
        <f t="shared" si="11"/>
        <v>0</v>
      </c>
      <c r="L82" s="67">
        <f t="shared" si="11"/>
        <v>0</v>
      </c>
      <c r="M82" s="67">
        <f t="shared" si="11"/>
        <v>0</v>
      </c>
      <c r="N82" s="67">
        <f t="shared" si="11"/>
        <v>0</v>
      </c>
      <c r="O82" s="67">
        <f t="shared" si="11"/>
        <v>0</v>
      </c>
      <c r="P82" s="67">
        <f t="shared" si="11"/>
        <v>0</v>
      </c>
      <c r="Q82" s="67">
        <f t="shared" si="11"/>
        <v>0</v>
      </c>
      <c r="R82" s="67">
        <f t="shared" si="11"/>
        <v>0</v>
      </c>
      <c r="S82" s="67">
        <f t="shared" si="11"/>
        <v>0</v>
      </c>
      <c r="T82" s="67">
        <f t="shared" si="11"/>
        <v>0</v>
      </c>
      <c r="U82" s="67">
        <f t="shared" si="11"/>
        <v>0</v>
      </c>
      <c r="V82" s="67">
        <f t="shared" si="11"/>
        <v>0</v>
      </c>
      <c r="W82" s="67">
        <f t="shared" si="11"/>
        <v>0</v>
      </c>
      <c r="X82" s="67">
        <f t="shared" si="11"/>
        <v>0</v>
      </c>
      <c r="Y82" s="67">
        <f t="shared" si="11"/>
        <v>0</v>
      </c>
      <c r="Z82" s="67">
        <f t="shared" si="11"/>
        <v>0</v>
      </c>
      <c r="AA82" s="67">
        <f t="shared" si="11"/>
        <v>0</v>
      </c>
      <c r="AB82" s="67">
        <f t="shared" si="11"/>
        <v>0</v>
      </c>
      <c r="AC82" s="67">
        <f t="shared" si="11"/>
        <v>0</v>
      </c>
      <c r="AD82" s="67">
        <f t="shared" si="11"/>
        <v>0</v>
      </c>
      <c r="AE82" s="67">
        <f t="shared" si="11"/>
        <v>0</v>
      </c>
      <c r="AF82" s="67">
        <f t="shared" si="11"/>
        <v>0</v>
      </c>
      <c r="AG82" s="95">
        <f>SUM(AG71:AG81)</f>
        <v>0</v>
      </c>
      <c r="AH82" s="52">
        <f t="shared" si="9"/>
        <v>0</v>
      </c>
      <c r="AI82" s="53">
        <f t="shared" si="10"/>
        <v>0</v>
      </c>
      <c r="AK82" s="93"/>
      <c r="AL82" s="84"/>
      <c r="AM82" s="96"/>
      <c r="AN82" s="221">
        <f>448.2/4</f>
        <v>112.05</v>
      </c>
    </row>
    <row r="83" spans="1:88" x14ac:dyDescent="0.25">
      <c r="A83" s="49" t="s">
        <v>94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9"/>
        <v>0</v>
      </c>
      <c r="AI83" s="53">
        <f t="shared" si="10"/>
        <v>0</v>
      </c>
      <c r="AK83" s="93"/>
      <c r="AL83" s="84"/>
      <c r="AM83" s="84"/>
      <c r="AN83" s="222"/>
    </row>
    <row r="84" spans="1:88" ht="15.75" thickBot="1" x14ac:dyDescent="0.3">
      <c r="A84" s="60" t="s">
        <v>95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9"/>
        <v>0</v>
      </c>
      <c r="AI84" s="53">
        <f t="shared" si="10"/>
        <v>0</v>
      </c>
      <c r="AK84" s="98"/>
      <c r="AL84" s="99"/>
      <c r="AM84" s="99"/>
      <c r="AN84" s="100"/>
    </row>
    <row r="85" spans="1:88" ht="15.75" thickBot="1" x14ac:dyDescent="0.3">
      <c r="A85" s="91" t="s">
        <v>96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9"/>
        <v>0</v>
      </c>
      <c r="AI85" s="53">
        <f t="shared" si="10"/>
        <v>0</v>
      </c>
    </row>
    <row r="86" spans="1:88" s="1" customFormat="1" ht="15.75" thickBot="1" x14ac:dyDescent="0.3">
      <c r="A86" s="81" t="s">
        <v>97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9"/>
        <v>0</v>
      </c>
      <c r="AI86" s="53">
        <f t="shared" si="10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98</v>
      </c>
      <c r="B87" s="102">
        <f t="shared" ref="B87:AG87" si="12">B48+B52+B70+B66+B82+B86</f>
        <v>3.54</v>
      </c>
      <c r="C87" s="102">
        <f t="shared" si="12"/>
        <v>3.54</v>
      </c>
      <c r="D87" s="102">
        <f t="shared" si="12"/>
        <v>3.54</v>
      </c>
      <c r="E87" s="102">
        <f t="shared" si="12"/>
        <v>3.54</v>
      </c>
      <c r="F87" s="102">
        <f t="shared" si="12"/>
        <v>3.54</v>
      </c>
      <c r="G87" s="102">
        <f t="shared" si="12"/>
        <v>3.54</v>
      </c>
      <c r="H87" s="102">
        <f t="shared" si="12"/>
        <v>3.54</v>
      </c>
      <c r="I87" s="102">
        <f t="shared" si="12"/>
        <v>3.54</v>
      </c>
      <c r="J87" s="102">
        <f t="shared" si="12"/>
        <v>3.54</v>
      </c>
      <c r="K87" s="102">
        <f t="shared" si="12"/>
        <v>3.54</v>
      </c>
      <c r="L87" s="102">
        <f t="shared" si="12"/>
        <v>3.54</v>
      </c>
      <c r="M87" s="102">
        <f t="shared" si="12"/>
        <v>3.54</v>
      </c>
      <c r="N87" s="102">
        <f t="shared" si="12"/>
        <v>3.54</v>
      </c>
      <c r="O87" s="102">
        <f t="shared" si="12"/>
        <v>3.54</v>
      </c>
      <c r="P87" s="102">
        <f t="shared" si="12"/>
        <v>3.54</v>
      </c>
      <c r="Q87" s="102">
        <f t="shared" si="12"/>
        <v>3.54</v>
      </c>
      <c r="R87" s="102">
        <f t="shared" si="12"/>
        <v>3.54</v>
      </c>
      <c r="S87" s="102">
        <f t="shared" si="12"/>
        <v>3.54</v>
      </c>
      <c r="T87" s="102">
        <f t="shared" si="12"/>
        <v>3.54</v>
      </c>
      <c r="U87" s="102">
        <f t="shared" si="12"/>
        <v>3.54</v>
      </c>
      <c r="V87" s="102">
        <f t="shared" si="12"/>
        <v>3.54</v>
      </c>
      <c r="W87" s="102">
        <f t="shared" si="12"/>
        <v>3.54</v>
      </c>
      <c r="X87" s="102">
        <f t="shared" si="12"/>
        <v>3.54</v>
      </c>
      <c r="Y87" s="102">
        <f t="shared" si="12"/>
        <v>3.54</v>
      </c>
      <c r="Z87" s="102">
        <f t="shared" si="12"/>
        <v>3.54</v>
      </c>
      <c r="AA87" s="102">
        <f t="shared" si="12"/>
        <v>3.54</v>
      </c>
      <c r="AB87" s="102">
        <f t="shared" si="12"/>
        <v>3.54</v>
      </c>
      <c r="AC87" s="102">
        <f t="shared" si="12"/>
        <v>3.54</v>
      </c>
      <c r="AD87" s="102">
        <f t="shared" si="12"/>
        <v>3.54</v>
      </c>
      <c r="AE87" s="102">
        <f t="shared" si="12"/>
        <v>3.54</v>
      </c>
      <c r="AF87" s="102">
        <f t="shared" si="12"/>
        <v>3.54</v>
      </c>
      <c r="AG87" s="68">
        <f t="shared" si="12"/>
        <v>2065.09</v>
      </c>
      <c r="AH87" s="52">
        <f>MAX(B87:AF87)</f>
        <v>3.54</v>
      </c>
      <c r="AI87" s="53">
        <f>MIN(B87:AF87)</f>
        <v>3.54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99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95"/>
      <c r="AH88" s="52">
        <f t="shared" si="9"/>
        <v>0</v>
      </c>
      <c r="AI88" s="53">
        <f t="shared" si="10"/>
        <v>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100</v>
      </c>
      <c r="B89" s="102">
        <f t="shared" ref="B89:AF89" si="13">B87+B88</f>
        <v>3.54</v>
      </c>
      <c r="C89" s="102">
        <f t="shared" si="13"/>
        <v>3.54</v>
      </c>
      <c r="D89" s="102">
        <f t="shared" si="13"/>
        <v>3.54</v>
      </c>
      <c r="E89" s="102">
        <f t="shared" si="13"/>
        <v>3.54</v>
      </c>
      <c r="F89" s="102">
        <f t="shared" si="13"/>
        <v>3.54</v>
      </c>
      <c r="G89" s="102">
        <f t="shared" si="13"/>
        <v>3.54</v>
      </c>
      <c r="H89" s="102">
        <f t="shared" si="13"/>
        <v>3.54</v>
      </c>
      <c r="I89" s="102">
        <f t="shared" si="13"/>
        <v>3.54</v>
      </c>
      <c r="J89" s="102">
        <f t="shared" si="13"/>
        <v>3.54</v>
      </c>
      <c r="K89" s="102">
        <f t="shared" si="13"/>
        <v>3.54</v>
      </c>
      <c r="L89" s="102">
        <f t="shared" si="13"/>
        <v>3.54</v>
      </c>
      <c r="M89" s="102">
        <f t="shared" si="13"/>
        <v>3.54</v>
      </c>
      <c r="N89" s="102">
        <f t="shared" si="13"/>
        <v>3.54</v>
      </c>
      <c r="O89" s="102">
        <f t="shared" si="13"/>
        <v>3.54</v>
      </c>
      <c r="P89" s="102">
        <f t="shared" si="13"/>
        <v>3.54</v>
      </c>
      <c r="Q89" s="102">
        <f t="shared" si="13"/>
        <v>3.54</v>
      </c>
      <c r="R89" s="102">
        <f t="shared" si="13"/>
        <v>3.54</v>
      </c>
      <c r="S89" s="102">
        <f t="shared" si="13"/>
        <v>3.54</v>
      </c>
      <c r="T89" s="102">
        <f t="shared" si="13"/>
        <v>3.54</v>
      </c>
      <c r="U89" s="102">
        <f t="shared" si="13"/>
        <v>3.54</v>
      </c>
      <c r="V89" s="102">
        <f t="shared" si="13"/>
        <v>3.54</v>
      </c>
      <c r="W89" s="102">
        <f t="shared" si="13"/>
        <v>3.54</v>
      </c>
      <c r="X89" s="102">
        <f t="shared" si="13"/>
        <v>3.54</v>
      </c>
      <c r="Y89" s="102">
        <f t="shared" si="13"/>
        <v>3.54</v>
      </c>
      <c r="Z89" s="102">
        <f t="shared" si="13"/>
        <v>3.54</v>
      </c>
      <c r="AA89" s="102">
        <f t="shared" si="13"/>
        <v>3.54</v>
      </c>
      <c r="AB89" s="102">
        <f t="shared" si="13"/>
        <v>3.54</v>
      </c>
      <c r="AC89" s="102">
        <f t="shared" si="13"/>
        <v>3.54</v>
      </c>
      <c r="AD89" s="102">
        <f t="shared" si="13"/>
        <v>3.54</v>
      </c>
      <c r="AE89" s="102">
        <f t="shared" si="13"/>
        <v>3.54</v>
      </c>
      <c r="AF89" s="102">
        <f t="shared" si="13"/>
        <v>3.54</v>
      </c>
      <c r="AG89" s="95">
        <f>AG86+AG82+AG70+AG66+AG48+AG88</f>
        <v>1526.99</v>
      </c>
      <c r="AH89" s="52">
        <f t="shared" si="9"/>
        <v>3.54</v>
      </c>
      <c r="AI89" s="53">
        <f t="shared" si="10"/>
        <v>3.54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101</v>
      </c>
      <c r="B90" s="102">
        <f t="shared" ref="B90:AF90" si="14">B89-B97</f>
        <v>3.54</v>
      </c>
      <c r="C90" s="102">
        <f t="shared" si="14"/>
        <v>3.54</v>
      </c>
      <c r="D90" s="102">
        <f t="shared" si="14"/>
        <v>3.54</v>
      </c>
      <c r="E90" s="102">
        <f t="shared" si="14"/>
        <v>3.54</v>
      </c>
      <c r="F90" s="102">
        <f t="shared" si="14"/>
        <v>3.54</v>
      </c>
      <c r="G90" s="102">
        <f t="shared" si="14"/>
        <v>3.54</v>
      </c>
      <c r="H90" s="102">
        <f t="shared" si="14"/>
        <v>3.54</v>
      </c>
      <c r="I90" s="102">
        <f t="shared" si="14"/>
        <v>3.54</v>
      </c>
      <c r="J90" s="102">
        <f t="shared" si="14"/>
        <v>3.54</v>
      </c>
      <c r="K90" s="102">
        <f t="shared" si="14"/>
        <v>3.54</v>
      </c>
      <c r="L90" s="102">
        <f t="shared" si="14"/>
        <v>3.54</v>
      </c>
      <c r="M90" s="102">
        <f t="shared" si="14"/>
        <v>3.54</v>
      </c>
      <c r="N90" s="102">
        <f t="shared" si="14"/>
        <v>3.54</v>
      </c>
      <c r="O90" s="102">
        <f t="shared" si="14"/>
        <v>3.54</v>
      </c>
      <c r="P90" s="102">
        <f t="shared" si="14"/>
        <v>3.54</v>
      </c>
      <c r="Q90" s="102">
        <f t="shared" si="14"/>
        <v>3.54</v>
      </c>
      <c r="R90" s="102">
        <f t="shared" si="14"/>
        <v>3.54</v>
      </c>
      <c r="S90" s="102">
        <f t="shared" si="14"/>
        <v>3.54</v>
      </c>
      <c r="T90" s="102">
        <f t="shared" si="14"/>
        <v>3.54</v>
      </c>
      <c r="U90" s="102">
        <f t="shared" si="14"/>
        <v>3.54</v>
      </c>
      <c r="V90" s="102">
        <f t="shared" si="14"/>
        <v>3.54</v>
      </c>
      <c r="W90" s="102">
        <f t="shared" si="14"/>
        <v>3.54</v>
      </c>
      <c r="X90" s="102">
        <f t="shared" si="14"/>
        <v>3.54</v>
      </c>
      <c r="Y90" s="102">
        <f t="shared" si="14"/>
        <v>3.54</v>
      </c>
      <c r="Z90" s="102">
        <f t="shared" si="14"/>
        <v>3.54</v>
      </c>
      <c r="AA90" s="102">
        <f t="shared" si="14"/>
        <v>3.54</v>
      </c>
      <c r="AB90" s="102">
        <f t="shared" si="14"/>
        <v>3.54</v>
      </c>
      <c r="AC90" s="102">
        <f t="shared" si="14"/>
        <v>3.54</v>
      </c>
      <c r="AD90" s="102">
        <f t="shared" si="14"/>
        <v>3.54</v>
      </c>
      <c r="AE90" s="102">
        <f t="shared" si="14"/>
        <v>3.54</v>
      </c>
      <c r="AF90" s="102">
        <f t="shared" si="14"/>
        <v>3.54</v>
      </c>
      <c r="AG90" s="95"/>
      <c r="AH90" s="52">
        <f t="shared" si="9"/>
        <v>3.54</v>
      </c>
      <c r="AI90" s="53">
        <f t="shared" si="10"/>
        <v>3.54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82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9"/>
        <v>0</v>
      </c>
      <c r="AI91" s="53">
        <f t="shared" si="10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80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9"/>
        <v>0</v>
      </c>
      <c r="AI92" s="53">
        <f t="shared" si="10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102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9"/>
        <v>0</v>
      </c>
      <c r="AI93" s="53">
        <f t="shared" si="10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103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9"/>
        <v>0</v>
      </c>
      <c r="AI94" s="53">
        <f t="shared" si="10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79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9"/>
        <v>0</v>
      </c>
      <c r="AI95" s="53">
        <f t="shared" si="10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104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9"/>
        <v>0</v>
      </c>
      <c r="AI96" s="53">
        <f t="shared" si="10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105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9"/>
        <v>0</v>
      </c>
      <c r="AI97" s="53">
        <f t="shared" si="10"/>
        <v>0</v>
      </c>
      <c r="AK97" s="54"/>
    </row>
    <row r="98" spans="1:88" s="1" customFormat="1" ht="15.75" thickBot="1" x14ac:dyDescent="0.3">
      <c r="A98" s="81" t="s">
        <v>106</v>
      </c>
      <c r="B98" s="67">
        <f t="shared" ref="B98:AF98" si="15">B82-B97</f>
        <v>0</v>
      </c>
      <c r="C98" s="67">
        <f t="shared" si="15"/>
        <v>0</v>
      </c>
      <c r="D98" s="67">
        <f t="shared" si="15"/>
        <v>0</v>
      </c>
      <c r="E98" s="67">
        <f t="shared" si="15"/>
        <v>0</v>
      </c>
      <c r="F98" s="67">
        <f t="shared" si="15"/>
        <v>0</v>
      </c>
      <c r="G98" s="67">
        <f t="shared" si="15"/>
        <v>0</v>
      </c>
      <c r="H98" s="67">
        <f t="shared" si="15"/>
        <v>0</v>
      </c>
      <c r="I98" s="67">
        <f t="shared" si="15"/>
        <v>0</v>
      </c>
      <c r="J98" s="67">
        <f t="shared" si="15"/>
        <v>0</v>
      </c>
      <c r="K98" s="67">
        <f t="shared" si="15"/>
        <v>0</v>
      </c>
      <c r="L98" s="67">
        <f t="shared" si="15"/>
        <v>0</v>
      </c>
      <c r="M98" s="67">
        <f t="shared" si="15"/>
        <v>0</v>
      </c>
      <c r="N98" s="67">
        <f t="shared" si="15"/>
        <v>0</v>
      </c>
      <c r="O98" s="67">
        <f t="shared" si="15"/>
        <v>0</v>
      </c>
      <c r="P98" s="67">
        <f t="shared" si="15"/>
        <v>0</v>
      </c>
      <c r="Q98" s="67">
        <f t="shared" si="15"/>
        <v>0</v>
      </c>
      <c r="R98" s="67">
        <f t="shared" si="15"/>
        <v>0</v>
      </c>
      <c r="S98" s="67">
        <f t="shared" si="15"/>
        <v>0</v>
      </c>
      <c r="T98" s="67">
        <f t="shared" si="15"/>
        <v>0</v>
      </c>
      <c r="U98" s="67">
        <f t="shared" si="15"/>
        <v>0</v>
      </c>
      <c r="V98" s="67">
        <f t="shared" si="15"/>
        <v>0</v>
      </c>
      <c r="W98" s="67">
        <f t="shared" si="15"/>
        <v>0</v>
      </c>
      <c r="X98" s="67">
        <f t="shared" si="15"/>
        <v>0</v>
      </c>
      <c r="Y98" s="67">
        <f t="shared" si="15"/>
        <v>0</v>
      </c>
      <c r="Z98" s="67">
        <f t="shared" si="15"/>
        <v>0</v>
      </c>
      <c r="AA98" s="67">
        <f t="shared" si="15"/>
        <v>0</v>
      </c>
      <c r="AB98" s="67">
        <f t="shared" si="15"/>
        <v>0</v>
      </c>
      <c r="AC98" s="67">
        <f t="shared" si="15"/>
        <v>0</v>
      </c>
      <c r="AD98" s="67">
        <f t="shared" si="15"/>
        <v>0</v>
      </c>
      <c r="AE98" s="67">
        <f t="shared" si="15"/>
        <v>0</v>
      </c>
      <c r="AF98" s="67">
        <f t="shared" si="15"/>
        <v>0</v>
      </c>
      <c r="AG98" s="95"/>
      <c r="AH98" s="52">
        <f t="shared" si="9"/>
        <v>0</v>
      </c>
      <c r="AI98" s="53">
        <f t="shared" si="10"/>
        <v>0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107</v>
      </c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9"/>
      <c r="AH99" s="52">
        <f t="shared" si="9"/>
        <v>0</v>
      </c>
      <c r="AI99" s="53">
        <f t="shared" si="10"/>
        <v>0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108</v>
      </c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111"/>
      <c r="AH100" s="52">
        <f t="shared" si="9"/>
        <v>0</v>
      </c>
      <c r="AI100" s="53">
        <f t="shared" si="10"/>
        <v>0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109</v>
      </c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111"/>
      <c r="AH101" s="52">
        <f t="shared" si="9"/>
        <v>0</v>
      </c>
      <c r="AI101" s="53">
        <f t="shared" si="10"/>
        <v>0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110</v>
      </c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111"/>
      <c r="AH102" s="52">
        <f t="shared" si="9"/>
        <v>0</v>
      </c>
      <c r="AI102" s="53">
        <f t="shared" si="10"/>
        <v>0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111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9"/>
        <v>0</v>
      </c>
      <c r="AI103" s="53">
        <f t="shared" si="10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112</v>
      </c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4"/>
      <c r="AH104" s="52">
        <f t="shared" si="9"/>
        <v>0</v>
      </c>
      <c r="AI104" s="53">
        <f t="shared" si="10"/>
        <v>0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113</v>
      </c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111"/>
      <c r="AH105" s="52">
        <f t="shared" si="9"/>
        <v>0</v>
      </c>
      <c r="AI105" s="53">
        <f t="shared" si="10"/>
        <v>0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114</v>
      </c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115"/>
      <c r="AH106" s="52">
        <f t="shared" si="9"/>
        <v>0</v>
      </c>
      <c r="AI106" s="53">
        <f t="shared" si="10"/>
        <v>0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115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9"/>
        <v>0</v>
      </c>
      <c r="AI107" s="53">
        <f t="shared" si="10"/>
        <v>0</v>
      </c>
    </row>
    <row r="108" spans="1:88" ht="15.75" thickBot="1" x14ac:dyDescent="0.3">
      <c r="A108" s="117" t="s">
        <v>116</v>
      </c>
      <c r="B108" s="118">
        <f t="shared" ref="B108:AF108" si="16">SUM(B18,B24,B27:B28,B56,B58:B59,B61,B63,B109:B113,B135,B141,B147,B156,B158,B170,B177,B180:B181,B188,B190,B192,B196:B198,B200:B202,B207,B213:B214,B216:B218,B226,B231)</f>
        <v>0</v>
      </c>
      <c r="C108" s="118">
        <f t="shared" si="16"/>
        <v>0.94</v>
      </c>
      <c r="D108" s="118">
        <f t="shared" si="16"/>
        <v>0.94</v>
      </c>
      <c r="E108" s="118">
        <f t="shared" si="16"/>
        <v>0.94</v>
      </c>
      <c r="F108" s="118">
        <f t="shared" si="16"/>
        <v>0.94</v>
      </c>
      <c r="G108" s="118">
        <f t="shared" si="16"/>
        <v>0.94</v>
      </c>
      <c r="H108" s="118">
        <f t="shared" si="16"/>
        <v>0.94</v>
      </c>
      <c r="I108" s="118">
        <f t="shared" si="16"/>
        <v>0.94</v>
      </c>
      <c r="J108" s="118">
        <f t="shared" si="16"/>
        <v>0.94</v>
      </c>
      <c r="K108" s="118">
        <f t="shared" si="16"/>
        <v>0.94</v>
      </c>
      <c r="L108" s="118">
        <f t="shared" si="16"/>
        <v>0.94</v>
      </c>
      <c r="M108" s="118">
        <f t="shared" si="16"/>
        <v>0.94</v>
      </c>
      <c r="N108" s="118">
        <f t="shared" si="16"/>
        <v>0.94</v>
      </c>
      <c r="O108" s="118">
        <f t="shared" si="16"/>
        <v>0.94</v>
      </c>
      <c r="P108" s="118">
        <v>42</v>
      </c>
      <c r="Q108" s="118">
        <f t="shared" si="16"/>
        <v>0</v>
      </c>
      <c r="R108" s="118">
        <f t="shared" si="16"/>
        <v>0</v>
      </c>
      <c r="S108" s="118">
        <f t="shared" si="16"/>
        <v>0</v>
      </c>
      <c r="T108" s="118">
        <f t="shared" si="16"/>
        <v>0</v>
      </c>
      <c r="U108" s="118">
        <f t="shared" si="16"/>
        <v>0</v>
      </c>
      <c r="V108" s="118">
        <f t="shared" si="16"/>
        <v>0</v>
      </c>
      <c r="W108" s="118">
        <f t="shared" si="16"/>
        <v>0</v>
      </c>
      <c r="X108" s="118">
        <f t="shared" si="16"/>
        <v>0</v>
      </c>
      <c r="Y108" s="118">
        <f t="shared" si="16"/>
        <v>0</v>
      </c>
      <c r="Z108" s="118">
        <f t="shared" si="16"/>
        <v>0</v>
      </c>
      <c r="AA108" s="118">
        <f t="shared" si="16"/>
        <v>0</v>
      </c>
      <c r="AB108" s="118">
        <f t="shared" si="16"/>
        <v>0</v>
      </c>
      <c r="AC108" s="118">
        <f t="shared" si="16"/>
        <v>0</v>
      </c>
      <c r="AD108" s="118">
        <f t="shared" si="16"/>
        <v>0</v>
      </c>
      <c r="AE108" s="118">
        <f t="shared" si="16"/>
        <v>0</v>
      </c>
      <c r="AF108" s="118">
        <f t="shared" si="16"/>
        <v>0</v>
      </c>
      <c r="AG108" s="119"/>
      <c r="AH108" s="52">
        <f t="shared" si="9"/>
        <v>42</v>
      </c>
      <c r="AI108" s="53">
        <f t="shared" si="10"/>
        <v>0</v>
      </c>
    </row>
    <row r="109" spans="1:88" x14ac:dyDescent="0.25">
      <c r="A109" s="107" t="s">
        <v>117</v>
      </c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1">
        <v>75</v>
      </c>
      <c r="AH109" s="52">
        <f t="shared" si="9"/>
        <v>0</v>
      </c>
      <c r="AI109" s="53">
        <f t="shared" si="10"/>
        <v>0</v>
      </c>
    </row>
    <row r="110" spans="1:88" x14ac:dyDescent="0.25">
      <c r="A110" s="110" t="s">
        <v>118</v>
      </c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1">
        <v>240</v>
      </c>
      <c r="AH110" s="52">
        <f t="shared" si="9"/>
        <v>0</v>
      </c>
      <c r="AI110" s="53">
        <f t="shared" si="10"/>
        <v>0</v>
      </c>
    </row>
    <row r="111" spans="1:88" x14ac:dyDescent="0.25">
      <c r="A111" s="110" t="s">
        <v>119</v>
      </c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1">
        <v>240</v>
      </c>
      <c r="AH111" s="52">
        <f t="shared" si="9"/>
        <v>0</v>
      </c>
      <c r="AI111" s="53">
        <f t="shared" si="10"/>
        <v>0</v>
      </c>
    </row>
    <row r="112" spans="1:88" x14ac:dyDescent="0.25">
      <c r="A112" s="110" t="s">
        <v>120</v>
      </c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1">
        <v>60</v>
      </c>
      <c r="AH112" s="52">
        <f t="shared" si="9"/>
        <v>0</v>
      </c>
      <c r="AI112" s="53">
        <f t="shared" si="10"/>
        <v>0</v>
      </c>
    </row>
    <row r="113" spans="1:37" x14ac:dyDescent="0.25">
      <c r="A113" s="123" t="s">
        <v>121</v>
      </c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  <c r="AG113" s="125">
        <v>120</v>
      </c>
      <c r="AH113" s="52">
        <f t="shared" si="9"/>
        <v>0</v>
      </c>
      <c r="AI113" s="53">
        <f t="shared" si="10"/>
        <v>0</v>
      </c>
    </row>
    <row r="114" spans="1:37" x14ac:dyDescent="0.25">
      <c r="A114" s="123" t="s">
        <v>122</v>
      </c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5"/>
      <c r="AH114" s="52">
        <f t="shared" si="9"/>
        <v>0</v>
      </c>
      <c r="AI114" s="53">
        <f t="shared" si="10"/>
        <v>0</v>
      </c>
    </row>
    <row r="115" spans="1:37" x14ac:dyDescent="0.25">
      <c r="A115" s="123" t="s">
        <v>123</v>
      </c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6"/>
      <c r="AH115" s="52">
        <f t="shared" si="9"/>
        <v>0</v>
      </c>
      <c r="AI115" s="53">
        <f t="shared" si="10"/>
        <v>0</v>
      </c>
    </row>
    <row r="116" spans="1:37" x14ac:dyDescent="0.25">
      <c r="A116" s="127" t="s">
        <v>124</v>
      </c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26"/>
      <c r="AH116" s="52">
        <f t="shared" si="9"/>
        <v>0</v>
      </c>
      <c r="AI116" s="53">
        <f t="shared" si="10"/>
        <v>0</v>
      </c>
    </row>
    <row r="117" spans="1:37" ht="15.75" thickBot="1" x14ac:dyDescent="0.3">
      <c r="A117" s="127" t="s">
        <v>125</v>
      </c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26"/>
      <c r="AH117" s="52">
        <f t="shared" si="9"/>
        <v>0</v>
      </c>
      <c r="AI117" s="53">
        <f t="shared" si="10"/>
        <v>0</v>
      </c>
    </row>
    <row r="118" spans="1:37" ht="15.75" thickBot="1" x14ac:dyDescent="0.3">
      <c r="A118" s="128" t="s">
        <v>126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127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128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129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130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131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132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133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134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135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136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137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138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139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140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141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142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143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144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145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146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147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148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149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150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151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152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153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154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155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156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157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158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159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160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161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162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163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164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165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166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167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168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169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170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171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172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173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174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175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176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177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178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179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180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181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182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183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184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185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186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187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188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189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190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191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192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193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194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195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196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197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198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199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200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201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202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203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204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205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206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207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208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209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210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211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212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213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214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215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216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217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218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219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220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221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222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223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224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225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226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227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228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229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230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231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232</v>
      </c>
      <c r="B224" s="143">
        <f t="shared" ref="B224:AG224" si="17">SUM(B119:B223)</f>
        <v>0</v>
      </c>
      <c r="C224" s="144">
        <f t="shared" si="17"/>
        <v>0</v>
      </c>
      <c r="D224" s="144">
        <f t="shared" si="17"/>
        <v>0</v>
      </c>
      <c r="E224" s="144">
        <f t="shared" si="17"/>
        <v>0</v>
      </c>
      <c r="F224" s="144">
        <f t="shared" si="17"/>
        <v>0</v>
      </c>
      <c r="G224" s="144">
        <f t="shared" si="17"/>
        <v>0</v>
      </c>
      <c r="H224" s="144">
        <f t="shared" si="17"/>
        <v>0</v>
      </c>
      <c r="I224" s="144">
        <f t="shared" si="17"/>
        <v>0</v>
      </c>
      <c r="J224" s="144">
        <f t="shared" si="17"/>
        <v>0</v>
      </c>
      <c r="K224" s="144">
        <f t="shared" si="17"/>
        <v>0</v>
      </c>
      <c r="L224" s="144">
        <f t="shared" si="17"/>
        <v>0</v>
      </c>
      <c r="M224" s="144">
        <f t="shared" si="17"/>
        <v>0</v>
      </c>
      <c r="N224" s="144">
        <f t="shared" si="17"/>
        <v>0</v>
      </c>
      <c r="O224" s="144">
        <f t="shared" si="17"/>
        <v>0</v>
      </c>
      <c r="P224" s="144">
        <f t="shared" si="17"/>
        <v>0</v>
      </c>
      <c r="Q224" s="144">
        <f t="shared" si="17"/>
        <v>0</v>
      </c>
      <c r="R224" s="144">
        <f t="shared" si="17"/>
        <v>0</v>
      </c>
      <c r="S224" s="144">
        <f t="shared" si="17"/>
        <v>0</v>
      </c>
      <c r="T224" s="144">
        <f t="shared" si="17"/>
        <v>0</v>
      </c>
      <c r="U224" s="144">
        <f t="shared" si="17"/>
        <v>0</v>
      </c>
      <c r="V224" s="144">
        <f t="shared" si="17"/>
        <v>0</v>
      </c>
      <c r="W224" s="144">
        <f t="shared" si="17"/>
        <v>0</v>
      </c>
      <c r="X224" s="144">
        <f t="shared" si="17"/>
        <v>0</v>
      </c>
      <c r="Y224" s="144">
        <f t="shared" si="17"/>
        <v>0</v>
      </c>
      <c r="Z224" s="144">
        <f t="shared" si="17"/>
        <v>0</v>
      </c>
      <c r="AA224" s="144">
        <f t="shared" si="17"/>
        <v>0</v>
      </c>
      <c r="AB224" s="144">
        <f t="shared" si="17"/>
        <v>0</v>
      </c>
      <c r="AC224" s="144">
        <f t="shared" si="17"/>
        <v>0</v>
      </c>
      <c r="AD224" s="144">
        <f t="shared" si="17"/>
        <v>0</v>
      </c>
      <c r="AE224" s="144">
        <f t="shared" si="17"/>
        <v>0</v>
      </c>
      <c r="AF224" s="145">
        <f t="shared" si="17"/>
        <v>0</v>
      </c>
      <c r="AG224" s="146">
        <f t="shared" si="17"/>
        <v>412.72299999999984</v>
      </c>
      <c r="AH224" s="52"/>
      <c r="AI224" s="53"/>
      <c r="AK224" s="54"/>
    </row>
    <row r="225" spans="1:37" ht="15.75" thickBot="1" x14ac:dyDescent="0.3">
      <c r="A225" s="29" t="s">
        <v>73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233</v>
      </c>
      <c r="B226" s="149">
        <f t="shared" ref="B226:B231" si="18">AF226</f>
        <v>0</v>
      </c>
      <c r="C226" s="149">
        <v>0.3</v>
      </c>
      <c r="D226" s="149">
        <f t="shared" ref="D226:P231" si="19">C226</f>
        <v>0.3</v>
      </c>
      <c r="E226" s="149">
        <f t="shared" si="19"/>
        <v>0.3</v>
      </c>
      <c r="F226" s="149">
        <f t="shared" si="19"/>
        <v>0.3</v>
      </c>
      <c r="G226" s="149">
        <f t="shared" si="19"/>
        <v>0.3</v>
      </c>
      <c r="H226" s="149">
        <f t="shared" si="19"/>
        <v>0.3</v>
      </c>
      <c r="I226" s="149">
        <f t="shared" si="19"/>
        <v>0.3</v>
      </c>
      <c r="J226" s="149">
        <f t="shared" si="19"/>
        <v>0.3</v>
      </c>
      <c r="K226" s="149">
        <f t="shared" si="19"/>
        <v>0.3</v>
      </c>
      <c r="L226" s="149">
        <f t="shared" si="19"/>
        <v>0.3</v>
      </c>
      <c r="M226" s="149">
        <f t="shared" si="19"/>
        <v>0.3</v>
      </c>
      <c r="N226" s="149">
        <f t="shared" si="19"/>
        <v>0.3</v>
      </c>
      <c r="O226" s="149">
        <f t="shared" si="19"/>
        <v>0.3</v>
      </c>
      <c r="P226" s="149">
        <f t="shared" si="19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234</v>
      </c>
      <c r="B227" s="136">
        <f t="shared" si="18"/>
        <v>0</v>
      </c>
      <c r="C227" s="136">
        <v>0.4</v>
      </c>
      <c r="D227" s="136">
        <f t="shared" si="19"/>
        <v>0.4</v>
      </c>
      <c r="E227" s="136">
        <f t="shared" si="19"/>
        <v>0.4</v>
      </c>
      <c r="F227" s="136">
        <f t="shared" si="19"/>
        <v>0.4</v>
      </c>
      <c r="G227" s="136">
        <f t="shared" si="19"/>
        <v>0.4</v>
      </c>
      <c r="H227" s="136">
        <f t="shared" si="19"/>
        <v>0.4</v>
      </c>
      <c r="I227" s="136">
        <f t="shared" si="19"/>
        <v>0.4</v>
      </c>
      <c r="J227" s="136">
        <f t="shared" si="19"/>
        <v>0.4</v>
      </c>
      <c r="K227" s="136">
        <f t="shared" si="19"/>
        <v>0.4</v>
      </c>
      <c r="L227" s="136">
        <f t="shared" si="19"/>
        <v>0.4</v>
      </c>
      <c r="M227" s="136">
        <f t="shared" si="19"/>
        <v>0.4</v>
      </c>
      <c r="N227" s="136">
        <f t="shared" si="19"/>
        <v>0.4</v>
      </c>
      <c r="O227" s="136">
        <f t="shared" si="19"/>
        <v>0.4</v>
      </c>
      <c r="P227" s="136">
        <f t="shared" si="19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235</v>
      </c>
      <c r="B228" s="136">
        <f t="shared" si="18"/>
        <v>0</v>
      </c>
      <c r="C228" s="136">
        <v>1.5</v>
      </c>
      <c r="D228" s="136">
        <f t="shared" si="19"/>
        <v>1.5</v>
      </c>
      <c r="E228" s="136">
        <f t="shared" si="19"/>
        <v>1.5</v>
      </c>
      <c r="F228" s="136">
        <f t="shared" si="19"/>
        <v>1.5</v>
      </c>
      <c r="G228" s="136">
        <f t="shared" si="19"/>
        <v>1.5</v>
      </c>
      <c r="H228" s="136">
        <f t="shared" si="19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19"/>
        <v>1.5</v>
      </c>
      <c r="K228" s="136">
        <f t="shared" ca="1" si="19"/>
        <v>1.5</v>
      </c>
      <c r="L228" s="136">
        <f t="shared" ca="1" si="19"/>
        <v>1.5</v>
      </c>
      <c r="M228" s="136">
        <f t="shared" ca="1" si="19"/>
        <v>1.5</v>
      </c>
      <c r="N228" s="136">
        <f t="shared" ca="1" si="19"/>
        <v>1.5</v>
      </c>
      <c r="O228" s="136">
        <f t="shared" ca="1" si="19"/>
        <v>1.5</v>
      </c>
      <c r="P228" s="136">
        <f t="shared" ca="1" si="19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236</v>
      </c>
      <c r="B229" s="136">
        <f t="shared" si="18"/>
        <v>0</v>
      </c>
      <c r="C229" s="136">
        <v>0.3</v>
      </c>
      <c r="D229" s="136">
        <f t="shared" si="19"/>
        <v>0.3</v>
      </c>
      <c r="E229" s="136">
        <f t="shared" si="19"/>
        <v>0.3</v>
      </c>
      <c r="F229" s="136">
        <f t="shared" si="19"/>
        <v>0.3</v>
      </c>
      <c r="G229" s="136">
        <f t="shared" si="19"/>
        <v>0.3</v>
      </c>
      <c r="H229" s="136">
        <f t="shared" si="19"/>
        <v>0.3</v>
      </c>
      <c r="I229" s="136">
        <f t="shared" si="19"/>
        <v>0.3</v>
      </c>
      <c r="J229" s="136">
        <f t="shared" si="19"/>
        <v>0.3</v>
      </c>
      <c r="K229" s="136">
        <f t="shared" si="19"/>
        <v>0.3</v>
      </c>
      <c r="L229" s="136">
        <f t="shared" si="19"/>
        <v>0.3</v>
      </c>
      <c r="M229" s="136">
        <f t="shared" si="19"/>
        <v>0.3</v>
      </c>
      <c r="N229" s="136">
        <f t="shared" si="19"/>
        <v>0.3</v>
      </c>
      <c r="O229" s="136">
        <f t="shared" si="19"/>
        <v>0.3</v>
      </c>
      <c r="P229" s="136">
        <f t="shared" si="19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237</v>
      </c>
      <c r="B230" s="136">
        <f t="shared" si="18"/>
        <v>0</v>
      </c>
      <c r="C230" s="136">
        <v>0.4</v>
      </c>
      <c r="D230" s="136">
        <f t="shared" si="19"/>
        <v>0.4</v>
      </c>
      <c r="E230" s="136">
        <f t="shared" si="19"/>
        <v>0.4</v>
      </c>
      <c r="F230" s="136">
        <f t="shared" si="19"/>
        <v>0.4</v>
      </c>
      <c r="G230" s="136">
        <f t="shared" si="19"/>
        <v>0.4</v>
      </c>
      <c r="H230" s="136">
        <f t="shared" si="19"/>
        <v>0.4</v>
      </c>
      <c r="I230" s="136">
        <f t="shared" si="19"/>
        <v>0.4</v>
      </c>
      <c r="J230" s="136">
        <f t="shared" si="19"/>
        <v>0.4</v>
      </c>
      <c r="K230" s="136">
        <f t="shared" si="19"/>
        <v>0.4</v>
      </c>
      <c r="L230" s="136">
        <f t="shared" si="19"/>
        <v>0.4</v>
      </c>
      <c r="M230" s="136">
        <f t="shared" si="19"/>
        <v>0.4</v>
      </c>
      <c r="N230" s="136">
        <f t="shared" si="19"/>
        <v>0.4</v>
      </c>
      <c r="O230" s="136">
        <f t="shared" si="19"/>
        <v>0.4</v>
      </c>
      <c r="P230" s="136">
        <f t="shared" si="19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238</v>
      </c>
      <c r="B231" s="140">
        <f t="shared" si="18"/>
        <v>0</v>
      </c>
      <c r="C231" s="140">
        <v>0.64</v>
      </c>
      <c r="D231" s="140">
        <f t="shared" si="19"/>
        <v>0.64</v>
      </c>
      <c r="E231" s="140">
        <f t="shared" si="19"/>
        <v>0.64</v>
      </c>
      <c r="F231" s="140">
        <f t="shared" si="19"/>
        <v>0.64</v>
      </c>
      <c r="G231" s="140">
        <f t="shared" si="19"/>
        <v>0.64</v>
      </c>
      <c r="H231" s="140">
        <f t="shared" si="19"/>
        <v>0.64</v>
      </c>
      <c r="I231" s="140">
        <f t="shared" si="19"/>
        <v>0.64</v>
      </c>
      <c r="J231" s="140">
        <f t="shared" si="19"/>
        <v>0.64</v>
      </c>
      <c r="K231" s="140">
        <f t="shared" si="19"/>
        <v>0.64</v>
      </c>
      <c r="L231" s="140">
        <f t="shared" si="19"/>
        <v>0.64</v>
      </c>
      <c r="M231" s="140">
        <f t="shared" si="19"/>
        <v>0.64</v>
      </c>
      <c r="N231" s="140">
        <f t="shared" si="19"/>
        <v>0.64</v>
      </c>
      <c r="O231" s="140">
        <f t="shared" si="19"/>
        <v>0.64</v>
      </c>
      <c r="P231" s="140">
        <f t="shared" si="19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73</v>
      </c>
      <c r="B232" s="144">
        <f t="shared" ref="B232:AG232" si="20">SUM(B226:B231)</f>
        <v>0</v>
      </c>
      <c r="C232" s="144">
        <f t="shared" si="20"/>
        <v>3.54</v>
      </c>
      <c r="D232" s="144">
        <f t="shared" si="20"/>
        <v>3.54</v>
      </c>
      <c r="E232" s="144">
        <f t="shared" si="20"/>
        <v>3.54</v>
      </c>
      <c r="F232" s="144">
        <f t="shared" si="20"/>
        <v>3.54</v>
      </c>
      <c r="G232" s="144">
        <f t="shared" si="20"/>
        <v>3.54</v>
      </c>
      <c r="H232" s="144">
        <f t="shared" si="20"/>
        <v>3.54</v>
      </c>
      <c r="I232" s="144">
        <f t="shared" ca="1" si="20"/>
        <v>3.54</v>
      </c>
      <c r="J232" s="144">
        <f t="shared" ca="1" si="20"/>
        <v>3.54</v>
      </c>
      <c r="K232" s="144">
        <f t="shared" ca="1" si="20"/>
        <v>3.54</v>
      </c>
      <c r="L232" s="144">
        <f t="shared" ca="1" si="20"/>
        <v>3.54</v>
      </c>
      <c r="M232" s="144">
        <f t="shared" ca="1" si="20"/>
        <v>3.54</v>
      </c>
      <c r="N232" s="144">
        <f t="shared" ca="1" si="20"/>
        <v>3.54</v>
      </c>
      <c r="O232" s="144">
        <f t="shared" ca="1" si="20"/>
        <v>3.54</v>
      </c>
      <c r="P232" s="144">
        <f t="shared" ca="1" si="20"/>
        <v>3.54</v>
      </c>
      <c r="Q232" s="144">
        <f t="shared" si="20"/>
        <v>0</v>
      </c>
      <c r="R232" s="144">
        <f t="shared" si="20"/>
        <v>0</v>
      </c>
      <c r="S232" s="144">
        <f t="shared" si="20"/>
        <v>0</v>
      </c>
      <c r="T232" s="144">
        <f t="shared" si="20"/>
        <v>0</v>
      </c>
      <c r="U232" s="144">
        <f t="shared" si="20"/>
        <v>0</v>
      </c>
      <c r="V232" s="144">
        <f t="shared" si="20"/>
        <v>0</v>
      </c>
      <c r="W232" s="144">
        <f t="shared" si="20"/>
        <v>0</v>
      </c>
      <c r="X232" s="144">
        <f t="shared" si="20"/>
        <v>0</v>
      </c>
      <c r="Y232" s="144">
        <f t="shared" si="20"/>
        <v>0</v>
      </c>
      <c r="Z232" s="144">
        <f t="shared" si="20"/>
        <v>0</v>
      </c>
      <c r="AA232" s="144">
        <f t="shared" si="20"/>
        <v>0</v>
      </c>
      <c r="AB232" s="144">
        <f t="shared" si="20"/>
        <v>0</v>
      </c>
      <c r="AC232" s="144">
        <f t="shared" si="20"/>
        <v>0</v>
      </c>
      <c r="AD232" s="144">
        <f t="shared" si="20"/>
        <v>0</v>
      </c>
      <c r="AE232" s="144">
        <f t="shared" si="20"/>
        <v>0</v>
      </c>
      <c r="AF232" s="144">
        <f t="shared" si="20"/>
        <v>0</v>
      </c>
      <c r="AG232" s="154">
        <f t="shared" si="20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239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240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241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242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243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244</v>
      </c>
      <c r="B241" s="169">
        <f>MAX(G89:N89)</f>
        <v>3.54</v>
      </c>
      <c r="C241" s="170">
        <f>INDEX(G9:N9,1,MATCH(MAX(G89:N89),G89:N89,0))</f>
        <v>0.20833333333333301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sample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23" t="s">
        <v>245</v>
      </c>
      <c r="B243" s="223"/>
      <c r="C243" s="48"/>
      <c r="D243" s="171" t="e">
        <f ca="1">"Pie Chart of Daily Peak Demand(Inclusive of Export) of Nepal ("&amp;A4&amp;" "&amp;B4&amp;")"</f>
        <v>#VALUE!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e">
        <f ca="1">"Daily Load Curve(Excluding of Export) of Nepal ("&amp;A4&amp;" "&amp;B4&amp;")"</f>
        <v>#VALUE!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246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247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248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249</v>
      </c>
      <c r="T246" s="180">
        <f t="shared" ref="T246:AX246" si="21">B89</f>
        <v>3.54</v>
      </c>
      <c r="U246" s="180">
        <f t="shared" si="21"/>
        <v>3.54</v>
      </c>
      <c r="V246" s="180">
        <f t="shared" si="21"/>
        <v>3.54</v>
      </c>
      <c r="W246" s="180">
        <f t="shared" si="21"/>
        <v>3.54</v>
      </c>
      <c r="X246" s="180">
        <f t="shared" si="21"/>
        <v>3.54</v>
      </c>
      <c r="Y246" s="180">
        <f t="shared" si="21"/>
        <v>3.54</v>
      </c>
      <c r="Z246" s="180">
        <f t="shared" si="21"/>
        <v>3.54</v>
      </c>
      <c r="AA246" s="180">
        <f t="shared" si="21"/>
        <v>3.54</v>
      </c>
      <c r="AB246" s="180">
        <f t="shared" si="21"/>
        <v>3.54</v>
      </c>
      <c r="AC246" s="180">
        <f t="shared" si="21"/>
        <v>3.54</v>
      </c>
      <c r="AD246" s="180">
        <f t="shared" si="21"/>
        <v>3.54</v>
      </c>
      <c r="AE246" s="180">
        <f t="shared" si="21"/>
        <v>3.54</v>
      </c>
      <c r="AF246" s="180">
        <f t="shared" si="21"/>
        <v>3.54</v>
      </c>
      <c r="AG246" s="180">
        <f t="shared" si="21"/>
        <v>3.54</v>
      </c>
      <c r="AH246" s="180">
        <f t="shared" si="21"/>
        <v>3.54</v>
      </c>
      <c r="AI246" s="180">
        <f t="shared" si="21"/>
        <v>3.54</v>
      </c>
      <c r="AJ246" s="180">
        <f t="shared" si="21"/>
        <v>3.54</v>
      </c>
      <c r="AK246" s="180">
        <f t="shared" si="21"/>
        <v>3.54</v>
      </c>
      <c r="AL246" s="180">
        <f t="shared" si="21"/>
        <v>3.54</v>
      </c>
      <c r="AM246" s="180">
        <f t="shared" si="21"/>
        <v>3.54</v>
      </c>
      <c r="AN246" s="180">
        <f t="shared" si="21"/>
        <v>3.54</v>
      </c>
      <c r="AO246" s="180">
        <f t="shared" si="21"/>
        <v>3.54</v>
      </c>
      <c r="AP246" s="180">
        <f t="shared" si="21"/>
        <v>3.54</v>
      </c>
      <c r="AQ246" s="180">
        <f t="shared" si="21"/>
        <v>3.54</v>
      </c>
      <c r="AR246" s="180">
        <f t="shared" si="21"/>
        <v>3.54</v>
      </c>
      <c r="AS246" s="180">
        <f t="shared" si="21"/>
        <v>3.54</v>
      </c>
      <c r="AT246" s="180">
        <f t="shared" si="21"/>
        <v>3.54</v>
      </c>
      <c r="AU246" s="180">
        <f t="shared" si="21"/>
        <v>3.54</v>
      </c>
      <c r="AV246" s="180">
        <f t="shared" si="21"/>
        <v>3.54</v>
      </c>
      <c r="AW246" s="180">
        <f t="shared" si="21"/>
        <v>3.54</v>
      </c>
      <c r="AX246" s="180">
        <f t="shared" si="21"/>
        <v>3.54</v>
      </c>
    </row>
    <row r="247" spans="1:50" x14ac:dyDescent="0.25">
      <c r="A247" s="172" t="s">
        <v>250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251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252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253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254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239</v>
      </c>
      <c r="B267" s="183">
        <f t="shared" ref="B267:AE267" si="22">C231</f>
        <v>0.64</v>
      </c>
      <c r="C267" s="183">
        <f t="shared" si="22"/>
        <v>0.64</v>
      </c>
      <c r="D267" s="183">
        <f t="shared" si="22"/>
        <v>0.64</v>
      </c>
      <c r="E267" s="183">
        <f t="shared" si="22"/>
        <v>0.64</v>
      </c>
      <c r="F267" s="183">
        <f t="shared" si="22"/>
        <v>0.64</v>
      </c>
      <c r="G267" s="183">
        <f t="shared" si="22"/>
        <v>0.64</v>
      </c>
      <c r="H267" s="183">
        <f t="shared" si="22"/>
        <v>0.64</v>
      </c>
      <c r="I267" s="183">
        <f t="shared" si="22"/>
        <v>0.64</v>
      </c>
      <c r="J267" s="183">
        <f t="shared" si="22"/>
        <v>0.64</v>
      </c>
      <c r="K267" s="183">
        <f t="shared" si="22"/>
        <v>0.64</v>
      </c>
      <c r="L267" s="183">
        <f t="shared" si="22"/>
        <v>0.64</v>
      </c>
      <c r="M267" s="183">
        <f t="shared" si="22"/>
        <v>0.64</v>
      </c>
      <c r="N267" s="183">
        <f t="shared" si="22"/>
        <v>0.64</v>
      </c>
      <c r="O267" s="183">
        <f t="shared" si="22"/>
        <v>0.64</v>
      </c>
      <c r="P267" s="183">
        <f t="shared" si="22"/>
        <v>0</v>
      </c>
      <c r="Q267" s="183">
        <f t="shared" si="22"/>
        <v>0</v>
      </c>
      <c r="R267" s="183">
        <f t="shared" si="22"/>
        <v>0</v>
      </c>
      <c r="S267" s="183">
        <f t="shared" si="22"/>
        <v>0</v>
      </c>
      <c r="T267" s="183">
        <f t="shared" si="22"/>
        <v>0</v>
      </c>
      <c r="U267" s="183">
        <f t="shared" si="22"/>
        <v>0</v>
      </c>
      <c r="V267" s="183">
        <f t="shared" si="22"/>
        <v>0</v>
      </c>
      <c r="W267" s="183">
        <f t="shared" si="22"/>
        <v>0</v>
      </c>
      <c r="X267" s="183">
        <f t="shared" si="22"/>
        <v>0</v>
      </c>
      <c r="Y267" s="183">
        <f t="shared" si="22"/>
        <v>0</v>
      </c>
      <c r="Z267" s="183">
        <f t="shared" si="22"/>
        <v>0</v>
      </c>
      <c r="AA267" s="183">
        <f t="shared" si="22"/>
        <v>0</v>
      </c>
      <c r="AB267" s="183">
        <f t="shared" si="22"/>
        <v>0</v>
      </c>
      <c r="AC267" s="183">
        <f t="shared" si="22"/>
        <v>0</v>
      </c>
      <c r="AD267" s="183">
        <f t="shared" si="22"/>
        <v>0</v>
      </c>
      <c r="AE267" s="183">
        <f t="shared" si="22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23">IF(B235&lt;100,"",B235-520)</f>
        <v/>
      </c>
      <c r="C268" s="184" t="str">
        <f t="shared" si="23"/>
        <v/>
      </c>
      <c r="D268" s="184" t="str">
        <f t="shared" si="23"/>
        <v/>
      </c>
      <c r="E268" s="184" t="str">
        <f t="shared" si="23"/>
        <v/>
      </c>
      <c r="F268" s="184" t="str">
        <f t="shared" si="23"/>
        <v/>
      </c>
      <c r="G268" s="184" t="str">
        <f t="shared" si="23"/>
        <v/>
      </c>
      <c r="H268" s="184" t="str">
        <f t="shared" si="23"/>
        <v/>
      </c>
      <c r="I268" s="184" t="str">
        <f t="shared" si="23"/>
        <v/>
      </c>
      <c r="J268" s="184" t="str">
        <f t="shared" si="23"/>
        <v/>
      </c>
      <c r="K268" s="184" t="str">
        <f t="shared" si="23"/>
        <v/>
      </c>
      <c r="L268" s="184" t="str">
        <f t="shared" si="23"/>
        <v/>
      </c>
      <c r="M268" s="184" t="str">
        <f t="shared" si="23"/>
        <v/>
      </c>
      <c r="N268" s="184" t="str">
        <f t="shared" si="23"/>
        <v/>
      </c>
      <c r="O268" s="184" t="str">
        <f t="shared" si="23"/>
        <v/>
      </c>
      <c r="P268" s="184" t="str">
        <f t="shared" si="23"/>
        <v/>
      </c>
      <c r="Q268" s="184" t="str">
        <f t="shared" si="23"/>
        <v/>
      </c>
      <c r="R268" s="184" t="str">
        <f t="shared" si="23"/>
        <v/>
      </c>
      <c r="S268" s="184" t="str">
        <f t="shared" si="23"/>
        <v/>
      </c>
      <c r="T268" s="184" t="str">
        <f t="shared" si="23"/>
        <v/>
      </c>
      <c r="U268" s="184" t="str">
        <f t="shared" si="23"/>
        <v/>
      </c>
      <c r="V268" s="184" t="str">
        <f t="shared" si="23"/>
        <v/>
      </c>
      <c r="W268" s="184" t="str">
        <f t="shared" si="23"/>
        <v/>
      </c>
      <c r="X268" s="184" t="str">
        <f t="shared" si="23"/>
        <v/>
      </c>
      <c r="Y268" s="184" t="str">
        <f t="shared" si="23"/>
        <v/>
      </c>
      <c r="Z268" s="184" t="str">
        <f t="shared" si="23"/>
        <v/>
      </c>
      <c r="AA268" s="184" t="str">
        <f t="shared" si="23"/>
        <v/>
      </c>
      <c r="AB268" s="184" t="str">
        <f t="shared" si="23"/>
        <v/>
      </c>
      <c r="AC268" s="184" t="str">
        <f t="shared" si="23"/>
        <v/>
      </c>
      <c r="AD268" s="184" t="str">
        <f t="shared" si="23"/>
        <v/>
      </c>
      <c r="AE268" s="184" t="str">
        <f t="shared" si="23"/>
        <v/>
      </c>
      <c r="AF268" s="184" t="str">
        <f t="shared" si="23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24">IF(B236&lt;100,"",B236-620)</f>
        <v/>
      </c>
      <c r="C269" s="184" t="str">
        <f t="shared" si="24"/>
        <v/>
      </c>
      <c r="D269" s="184" t="str">
        <f t="shared" si="24"/>
        <v/>
      </c>
      <c r="E269" s="184" t="str">
        <f t="shared" si="24"/>
        <v/>
      </c>
      <c r="F269" s="184" t="str">
        <f t="shared" si="24"/>
        <v/>
      </c>
      <c r="G269" s="184" t="str">
        <f t="shared" si="24"/>
        <v/>
      </c>
      <c r="H269" s="184" t="str">
        <f t="shared" si="24"/>
        <v/>
      </c>
      <c r="I269" s="184" t="str">
        <f t="shared" si="24"/>
        <v/>
      </c>
      <c r="J269" s="184" t="str">
        <f t="shared" si="24"/>
        <v/>
      </c>
      <c r="K269" s="184" t="str">
        <f t="shared" si="24"/>
        <v/>
      </c>
      <c r="L269" s="184" t="str">
        <f t="shared" si="24"/>
        <v/>
      </c>
      <c r="M269" s="184" t="str">
        <f t="shared" si="24"/>
        <v/>
      </c>
      <c r="N269" s="184" t="str">
        <f t="shared" si="24"/>
        <v/>
      </c>
      <c r="O269" s="184" t="str">
        <f t="shared" si="24"/>
        <v/>
      </c>
      <c r="P269" s="184" t="str">
        <f t="shared" si="24"/>
        <v/>
      </c>
      <c r="Q269" s="184" t="str">
        <f t="shared" si="24"/>
        <v/>
      </c>
      <c r="R269" s="184" t="str">
        <f t="shared" si="24"/>
        <v/>
      </c>
      <c r="S269" s="184" t="str">
        <f t="shared" si="24"/>
        <v/>
      </c>
      <c r="T269" s="184" t="str">
        <f t="shared" si="24"/>
        <v/>
      </c>
      <c r="U269" s="184" t="str">
        <f t="shared" si="24"/>
        <v/>
      </c>
      <c r="V269" s="184" t="str">
        <f t="shared" si="24"/>
        <v/>
      </c>
      <c r="W269" s="184" t="str">
        <f t="shared" si="24"/>
        <v/>
      </c>
      <c r="X269" s="184" t="str">
        <f t="shared" si="24"/>
        <v/>
      </c>
      <c r="Y269" s="184" t="str">
        <f t="shared" si="24"/>
        <v/>
      </c>
      <c r="Z269" s="184" t="str">
        <f t="shared" si="24"/>
        <v/>
      </c>
      <c r="AA269" s="184" t="str">
        <f t="shared" si="24"/>
        <v/>
      </c>
      <c r="AB269" s="184" t="str">
        <f t="shared" si="24"/>
        <v/>
      </c>
      <c r="AC269" s="184" t="str">
        <f t="shared" si="24"/>
        <v/>
      </c>
      <c r="AD269" s="184" t="str">
        <f t="shared" si="24"/>
        <v/>
      </c>
      <c r="AE269" s="184" t="str">
        <f t="shared" si="24"/>
        <v/>
      </c>
      <c r="AF269" s="184" t="str">
        <f t="shared" si="24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25">IF(B237&lt;100,"",B237-330)</f>
        <v/>
      </c>
      <c r="C270" s="184" t="str">
        <f t="shared" si="25"/>
        <v/>
      </c>
      <c r="D270" s="184" t="str">
        <f t="shared" si="25"/>
        <v/>
      </c>
      <c r="E270" s="184" t="str">
        <f t="shared" si="25"/>
        <v/>
      </c>
      <c r="F270" s="184" t="str">
        <f t="shared" si="25"/>
        <v/>
      </c>
      <c r="G270" s="184" t="str">
        <f t="shared" si="25"/>
        <v/>
      </c>
      <c r="H270" s="184" t="str">
        <f t="shared" si="25"/>
        <v/>
      </c>
      <c r="I270" s="184" t="str">
        <f t="shared" si="25"/>
        <v/>
      </c>
      <c r="J270" s="184" t="str">
        <f t="shared" si="25"/>
        <v/>
      </c>
      <c r="K270" s="184" t="str">
        <f t="shared" si="25"/>
        <v/>
      </c>
      <c r="L270" s="184" t="str">
        <f t="shared" si="25"/>
        <v/>
      </c>
      <c r="M270" s="184" t="str">
        <f t="shared" si="25"/>
        <v/>
      </c>
      <c r="N270" s="184" t="str">
        <f t="shared" si="25"/>
        <v/>
      </c>
      <c r="O270" s="184" t="str">
        <f t="shared" si="25"/>
        <v/>
      </c>
      <c r="P270" s="184" t="str">
        <f t="shared" si="25"/>
        <v/>
      </c>
      <c r="Q270" s="184" t="str">
        <f t="shared" si="25"/>
        <v/>
      </c>
      <c r="R270" s="184" t="str">
        <f t="shared" si="25"/>
        <v/>
      </c>
      <c r="S270" s="184" t="str">
        <f t="shared" si="25"/>
        <v/>
      </c>
      <c r="T270" s="184" t="str">
        <f t="shared" si="25"/>
        <v/>
      </c>
      <c r="U270" s="184" t="str">
        <f t="shared" si="25"/>
        <v/>
      </c>
      <c r="V270" s="184" t="str">
        <f t="shared" si="25"/>
        <v/>
      </c>
      <c r="W270" s="184" t="str">
        <f t="shared" si="25"/>
        <v/>
      </c>
      <c r="X270" s="184" t="str">
        <f t="shared" si="25"/>
        <v/>
      </c>
      <c r="Y270" s="184" t="str">
        <f t="shared" si="25"/>
        <v/>
      </c>
      <c r="Z270" s="184" t="str">
        <f t="shared" si="25"/>
        <v/>
      </c>
      <c r="AA270" s="184" t="str">
        <f t="shared" si="25"/>
        <v/>
      </c>
      <c r="AB270" s="184" t="str">
        <f t="shared" si="25"/>
        <v/>
      </c>
      <c r="AC270" s="184" t="str">
        <f t="shared" si="25"/>
        <v/>
      </c>
      <c r="AD270" s="184" t="str">
        <f t="shared" si="25"/>
        <v/>
      </c>
      <c r="AE270" s="184" t="str">
        <f t="shared" si="25"/>
        <v/>
      </c>
      <c r="AF270" s="184" t="str">
        <f t="shared" si="25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26">IF(B238&lt;100,"",B238-1500)</f>
        <v/>
      </c>
      <c r="C271" s="184" t="str">
        <f t="shared" si="26"/>
        <v/>
      </c>
      <c r="D271" s="184" t="str">
        <f t="shared" si="26"/>
        <v/>
      </c>
      <c r="E271" s="184" t="str">
        <f t="shared" si="26"/>
        <v/>
      </c>
      <c r="F271" s="184" t="str">
        <f t="shared" si="26"/>
        <v/>
      </c>
      <c r="G271" s="184" t="str">
        <f t="shared" si="26"/>
        <v/>
      </c>
      <c r="H271" s="184" t="str">
        <f t="shared" si="26"/>
        <v/>
      </c>
      <c r="I271" s="184" t="str">
        <f t="shared" si="26"/>
        <v/>
      </c>
      <c r="J271" s="184" t="str">
        <f t="shared" si="26"/>
        <v/>
      </c>
      <c r="K271" s="184" t="str">
        <f t="shared" si="26"/>
        <v/>
      </c>
      <c r="L271" s="184" t="str">
        <f t="shared" si="26"/>
        <v/>
      </c>
      <c r="M271" s="184" t="str">
        <f t="shared" si="26"/>
        <v/>
      </c>
      <c r="N271" s="184" t="str">
        <f t="shared" si="26"/>
        <v/>
      </c>
      <c r="O271" s="184" t="str">
        <f t="shared" si="26"/>
        <v/>
      </c>
      <c r="P271" s="184" t="str">
        <f t="shared" si="26"/>
        <v/>
      </c>
      <c r="Q271" s="184" t="str">
        <f t="shared" si="26"/>
        <v/>
      </c>
      <c r="R271" s="184" t="str">
        <f t="shared" si="26"/>
        <v/>
      </c>
      <c r="S271" s="184" t="str">
        <f t="shared" si="26"/>
        <v/>
      </c>
      <c r="T271" s="184" t="str">
        <f t="shared" si="26"/>
        <v/>
      </c>
      <c r="U271" s="184" t="str">
        <f t="shared" si="26"/>
        <v/>
      </c>
      <c r="V271" s="184" t="str">
        <f t="shared" si="26"/>
        <v/>
      </c>
      <c r="W271" s="184" t="str">
        <f t="shared" si="26"/>
        <v/>
      </c>
      <c r="X271" s="184" t="str">
        <f t="shared" si="26"/>
        <v/>
      </c>
      <c r="Y271" s="184" t="str">
        <f t="shared" si="26"/>
        <v/>
      </c>
      <c r="Z271" s="184" t="str">
        <f t="shared" si="26"/>
        <v/>
      </c>
      <c r="AA271" s="184" t="str">
        <f t="shared" si="26"/>
        <v/>
      </c>
      <c r="AB271" s="184" t="str">
        <f t="shared" si="26"/>
        <v/>
      </c>
      <c r="AC271" s="184" t="str">
        <f t="shared" si="26"/>
        <v/>
      </c>
      <c r="AD271" s="184" t="str">
        <f t="shared" si="26"/>
        <v/>
      </c>
      <c r="AE271" s="184" t="str">
        <f t="shared" si="26"/>
        <v/>
      </c>
      <c r="AF271" s="184" t="str">
        <f t="shared" si="26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403" priority="339">
      <formula>B$9&gt;=20/24</formula>
    </cfRule>
    <cfRule type="expression" dxfId="402" priority="340">
      <formula>AND(B$9&gt;=14/24,B$9&lt;20/24)</formula>
    </cfRule>
    <cfRule type="expression" dxfId="401" priority="341">
      <formula>AND(B$9&gt;=8/24,B$9&lt;14/24)</formula>
    </cfRule>
    <cfRule type="expression" dxfId="400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399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398" priority="336">
      <formula>$AH12=0</formula>
    </cfRule>
  </conditionalFormatting>
  <conditionalFormatting sqref="A114">
    <cfRule type="expression" dxfId="397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396" priority="333">
      <formula>$AH45=0</formula>
    </cfRule>
  </conditionalFormatting>
  <conditionalFormatting sqref="A98">
    <cfRule type="expression" dxfId="395" priority="332">
      <formula>$AH98=0</formula>
    </cfRule>
  </conditionalFormatting>
  <conditionalFormatting sqref="A18">
    <cfRule type="expression" dxfId="394" priority="331">
      <formula>$AH18=0</formula>
    </cfRule>
  </conditionalFormatting>
  <conditionalFormatting sqref="A196:A201">
    <cfRule type="expression" dxfId="393" priority="330">
      <formula>$AH196=0</formula>
    </cfRule>
  </conditionalFormatting>
  <conditionalFormatting sqref="A190:A195">
    <cfRule type="expression" dxfId="392" priority="329">
      <formula>$AH190=0</formula>
    </cfRule>
  </conditionalFormatting>
  <conditionalFormatting sqref="A58">
    <cfRule type="expression" dxfId="391" priority="328">
      <formula>$AH58=0</formula>
    </cfRule>
  </conditionalFormatting>
  <conditionalFormatting sqref="A94">
    <cfRule type="expression" dxfId="390" priority="327">
      <formula>$AH94=0</formula>
    </cfRule>
  </conditionalFormatting>
  <conditionalFormatting sqref="E99:X99 AD99:AF99">
    <cfRule type="expression" dxfId="389" priority="323">
      <formula>E$9&gt;=20/24</formula>
    </cfRule>
    <cfRule type="expression" dxfId="388" priority="324">
      <formula>AND(E$9&gt;=14/24,E$9&lt;20/24)</formula>
    </cfRule>
    <cfRule type="expression" dxfId="387" priority="325">
      <formula>AND(E$9&gt;=8/24,E$9&lt;14/24)</formula>
    </cfRule>
    <cfRule type="expression" dxfId="386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85" priority="345">
      <formula>C$9&gt;=20/24</formula>
    </cfRule>
    <cfRule type="expression" dxfId="384" priority="346">
      <formula>AND(C$9&gt;=14/24,C$9&lt;20/24)</formula>
    </cfRule>
    <cfRule type="expression" dxfId="383" priority="347">
      <formula>AND(C$9&gt;=8/24,C$9&lt;14/24)</formula>
    </cfRule>
    <cfRule type="expression" dxfId="382" priority="348">
      <formula>C$9&lt;8/24</formula>
    </cfRule>
  </conditionalFormatting>
  <conditionalFormatting sqref="A233">
    <cfRule type="expression" dxfId="381" priority="349">
      <formula>$AH233=0</formula>
    </cfRule>
  </conditionalFormatting>
  <conditionalFormatting sqref="AG245">
    <cfRule type="expression" dxfId="380" priority="350">
      <formula>B$9&gt;=20/24</formula>
    </cfRule>
    <cfRule type="expression" dxfId="379" priority="351">
      <formula>AND(B$9&gt;=14/24,B$9&lt;20/24)</formula>
    </cfRule>
    <cfRule type="expression" dxfId="378" priority="352">
      <formula>AND(B$9&gt;=8/24,B$9&lt;14/24)</formula>
    </cfRule>
    <cfRule type="expression" dxfId="377" priority="353">
      <formula>B$9&lt;8/24</formula>
    </cfRule>
  </conditionalFormatting>
  <conditionalFormatting sqref="S8">
    <cfRule type="expression" dxfId="376" priority="318">
      <formula>U$9&gt;=20/24</formula>
    </cfRule>
    <cfRule type="expression" dxfId="375" priority="319">
      <formula>AND(U$9&gt;=14/24,U$9&lt;20/24)</formula>
    </cfRule>
    <cfRule type="expression" dxfId="374" priority="320">
      <formula>AND(U$9&gt;=8/24,U$9&lt;14/24)</formula>
    </cfRule>
    <cfRule type="expression" dxfId="373" priority="321">
      <formula>U$9&lt;8/24</formula>
    </cfRule>
  </conditionalFormatting>
  <conditionalFormatting sqref="AB8">
    <cfRule type="expression" dxfId="372" priority="314">
      <formula>AD$9&gt;=20/24</formula>
    </cfRule>
    <cfRule type="expression" dxfId="371" priority="315">
      <formula>AND(AD$9&gt;=14/24,AD$9&lt;20/24)</formula>
    </cfRule>
    <cfRule type="expression" dxfId="370" priority="316">
      <formula>AND(AD$9&gt;=8/24,AD$9&lt;14/24)</formula>
    </cfRule>
    <cfRule type="expression" dxfId="369" priority="317">
      <formula>AD$9&lt;8/24</formula>
    </cfRule>
  </conditionalFormatting>
  <conditionalFormatting sqref="AH245:AX245">
    <cfRule type="expression" dxfId="368" priority="354">
      <formula>AG$9&gt;=20/24</formula>
    </cfRule>
    <cfRule type="expression" dxfId="367" priority="355">
      <formula>AND(AG$9&gt;=14/24,AG$9&lt;20/24)</formula>
    </cfRule>
    <cfRule type="expression" dxfId="366" priority="356">
      <formula>AND(AG$9&gt;=8/24,AG$9&lt;14/24)</formula>
    </cfRule>
    <cfRule type="expression" dxfId="365" priority="357">
      <formula>AG$9&lt;8/24</formula>
    </cfRule>
  </conditionalFormatting>
  <conditionalFormatting sqref="T245">
    <cfRule type="expression" dxfId="364" priority="358">
      <formula>AX$9&gt;=20/24</formula>
    </cfRule>
    <cfRule type="expression" dxfId="363" priority="359">
      <formula>AND(AX$9&gt;=14/24,AX$9&lt;20/24)</formula>
    </cfRule>
    <cfRule type="expression" dxfId="362" priority="360">
      <formula>AND(AX$9&gt;=8/24,AX$9&lt;14/24)</formula>
    </cfRule>
    <cfRule type="expression" dxfId="361" priority="361">
      <formula>AX$9&lt;8/24</formula>
    </cfRule>
  </conditionalFormatting>
  <conditionalFormatting sqref="A115:A116">
    <cfRule type="expression" dxfId="360" priority="313">
      <formula>$AH115=0</formula>
    </cfRule>
  </conditionalFormatting>
  <conditionalFormatting sqref="E71:AF71 AB54:AF57 M54:Q58">
    <cfRule type="expression" dxfId="359" priority="309">
      <formula>E$9&gt;=20/24</formula>
    </cfRule>
    <cfRule type="expression" dxfId="358" priority="310">
      <formula>AND(E$9&gt;=14/24,E$9&lt;20/24)</formula>
    </cfRule>
    <cfRule type="expression" dxfId="357" priority="311">
      <formula>AND(E$9&gt;=8/24,E$9&lt;14/24)</formula>
    </cfRule>
    <cfRule type="expression" dxfId="356" priority="312">
      <formula>E$9&lt;8/24</formula>
    </cfRule>
  </conditionalFormatting>
  <conditionalFormatting sqref="M53:Q53 AB53:AF53">
    <cfRule type="expression" dxfId="355" priority="305">
      <formula>M$9&gt;=20/24</formula>
    </cfRule>
    <cfRule type="expression" dxfId="354" priority="306">
      <formula>AND(M$9&gt;=14/24,M$9&lt;20/24)</formula>
    </cfRule>
    <cfRule type="expression" dxfId="353" priority="307">
      <formula>AND(M$9&gt;=8/24,M$9&lt;14/24)</formula>
    </cfRule>
    <cfRule type="expression" dxfId="352" priority="308">
      <formula>M$9&lt;8/24</formula>
    </cfRule>
  </conditionalFormatting>
  <conditionalFormatting sqref="AB53:AF57 M53:Q58">
    <cfRule type="expression" dxfId="351" priority="304">
      <formula>M53&gt;$AG53</formula>
    </cfRule>
  </conditionalFormatting>
  <conditionalFormatting sqref="D86:AF86 M100:X106 X96:AF96 AD100:AF106 E72:X73 Y72:AF74 X47:AF47 X67:AF69">
    <cfRule type="expression" dxfId="350" priority="300">
      <formula>D$9&gt;=20/24</formula>
    </cfRule>
    <cfRule type="expression" dxfId="349" priority="301">
      <formula>AND(D$9&gt;=14/24,D$9&lt;20/24)</formula>
    </cfRule>
    <cfRule type="expression" dxfId="348" priority="302">
      <formula>AND(D$9&gt;=8/24,D$9&lt;14/24)</formula>
    </cfRule>
    <cfRule type="expression" dxfId="347" priority="303">
      <formula>D$9&lt;8/24</formula>
    </cfRule>
  </conditionalFormatting>
  <conditionalFormatting sqref="X47:AF47 X67:AF69">
    <cfRule type="expression" dxfId="346" priority="299">
      <formula>X47&gt;$AG47</formula>
    </cfRule>
  </conditionalFormatting>
  <conditionalFormatting sqref="R53:AA58">
    <cfRule type="expression" dxfId="345" priority="295">
      <formula>R$9&gt;=20/24</formula>
    </cfRule>
    <cfRule type="expression" dxfId="344" priority="296">
      <formula>AND(R$9&gt;=14/24,R$9&lt;20/24)</formula>
    </cfRule>
    <cfRule type="expression" dxfId="343" priority="297">
      <formula>AND(R$9&gt;=8/24,R$9&lt;14/24)</formula>
    </cfRule>
    <cfRule type="expression" dxfId="342" priority="298">
      <formula>R$9&lt;8/24</formula>
    </cfRule>
  </conditionalFormatting>
  <conditionalFormatting sqref="R53:AA58">
    <cfRule type="expression" dxfId="341" priority="294">
      <formula>R53&gt;$AG53</formula>
    </cfRule>
  </conditionalFormatting>
  <conditionalFormatting sqref="C97:AF97 D88:AF88">
    <cfRule type="expression" dxfId="340" priority="290">
      <formula>C$9&gt;=20/24</formula>
    </cfRule>
    <cfRule type="expression" dxfId="339" priority="291">
      <formula>AND(C$9&gt;=14/24,C$9&lt;20/24)</formula>
    </cfRule>
    <cfRule type="expression" dxfId="338" priority="292">
      <formula>AND(C$9&gt;=8/24,C$9&lt;14/24)</formula>
    </cfRule>
    <cfRule type="expression" dxfId="337" priority="293">
      <formula>C$9&lt;8/24</formula>
    </cfRule>
  </conditionalFormatting>
  <conditionalFormatting sqref="T47:W47">
    <cfRule type="expression" dxfId="336" priority="286">
      <formula>T$9&gt;=20/24</formula>
    </cfRule>
    <cfRule type="expression" dxfId="335" priority="287">
      <formula>AND(T$9&gt;=14/24,T$9&lt;20/24)</formula>
    </cfRule>
    <cfRule type="expression" dxfId="334" priority="288">
      <formula>AND(T$9&gt;=8/24,T$9&lt;14/24)</formula>
    </cfRule>
    <cfRule type="expression" dxfId="333" priority="289">
      <formula>T$9&lt;8/24</formula>
    </cfRule>
  </conditionalFormatting>
  <conditionalFormatting sqref="T47:W47">
    <cfRule type="expression" dxfId="332" priority="285">
      <formula>T47&gt;$AG47</formula>
    </cfRule>
  </conditionalFormatting>
  <conditionalFormatting sqref="E54:L55">
    <cfRule type="expression" dxfId="331" priority="281">
      <formula>E$9&gt;=20/24</formula>
    </cfRule>
    <cfRule type="expression" dxfId="330" priority="282">
      <formula>AND(E$9&gt;=14/24,E$9&lt;20/24)</formula>
    </cfRule>
    <cfRule type="expression" dxfId="329" priority="283">
      <formula>AND(E$9&gt;=8/24,E$9&lt;14/24)</formula>
    </cfRule>
    <cfRule type="expression" dxfId="328" priority="284">
      <formula>E$9&lt;8/24</formula>
    </cfRule>
  </conditionalFormatting>
  <conditionalFormatting sqref="E53:L53">
    <cfRule type="expression" dxfId="327" priority="277">
      <formula>E$9&gt;=20/24</formula>
    </cfRule>
    <cfRule type="expression" dxfId="326" priority="278">
      <formula>AND(E$9&gt;=14/24,E$9&lt;20/24)</formula>
    </cfRule>
    <cfRule type="expression" dxfId="325" priority="279">
      <formula>AND(E$9&gt;=8/24,E$9&lt;14/24)</formula>
    </cfRule>
    <cfRule type="expression" dxfId="324" priority="280">
      <formula>E$9&lt;8/24</formula>
    </cfRule>
  </conditionalFormatting>
  <conditionalFormatting sqref="E53:L55">
    <cfRule type="expression" dxfId="323" priority="276">
      <formula>E53&gt;$AG53</formula>
    </cfRule>
  </conditionalFormatting>
  <conditionalFormatting sqref="AG70 AG87 E100:L106 Q67:W69">
    <cfRule type="expression" dxfId="322" priority="272">
      <formula>E$9&gt;=20/24</formula>
    </cfRule>
    <cfRule type="expression" dxfId="321" priority="273">
      <formula>AND(E$9&gt;=14/24,E$9&lt;20/24)</formula>
    </cfRule>
    <cfRule type="expression" dxfId="320" priority="274">
      <formula>AND(E$9&gt;=8/24,E$9&lt;14/24)</formula>
    </cfRule>
    <cfRule type="expression" dxfId="319" priority="275">
      <formula>E$9&lt;8/24</formula>
    </cfRule>
  </conditionalFormatting>
  <conditionalFormatting sqref="AG48 AG66 AG70 Q67:W69">
    <cfRule type="expression" dxfId="318" priority="271">
      <formula>Q48&gt;$AG48</formula>
    </cfRule>
  </conditionalFormatting>
  <conditionalFormatting sqref="AB58:AF58">
    <cfRule type="expression" dxfId="317" priority="267">
      <formula>AB$9&gt;=20/24</formula>
    </cfRule>
    <cfRule type="expression" dxfId="316" priority="268">
      <formula>AND(AB$9&gt;=14/24,AB$9&lt;20/24)</formula>
    </cfRule>
    <cfRule type="expression" dxfId="315" priority="269">
      <formula>AND(AB$9&gt;=8/24,AB$9&lt;14/24)</formula>
    </cfRule>
    <cfRule type="expression" dxfId="314" priority="270">
      <formula>AB$9&lt;8/24</formula>
    </cfRule>
  </conditionalFormatting>
  <conditionalFormatting sqref="AB58:AF58">
    <cfRule type="expression" dxfId="313" priority="266">
      <formula>AB58&gt;$AG58</formula>
    </cfRule>
  </conditionalFormatting>
  <conditionalFormatting sqref="A43">
    <cfRule type="expression" dxfId="312" priority="265">
      <formula>$AH43=0</formula>
    </cfRule>
  </conditionalFormatting>
  <conditionalFormatting sqref="X91:AF95">
    <cfRule type="expression" dxfId="311" priority="261">
      <formula>X$9&gt;=20/24</formula>
    </cfRule>
    <cfRule type="expression" dxfId="310" priority="262">
      <formula>AND(X$9&gt;=14/24,X$9&lt;20/24)</formula>
    </cfRule>
    <cfRule type="expression" dxfId="309" priority="263">
      <formula>AND(X$9&gt;=8/24,X$9&lt;14/24)</formula>
    </cfRule>
    <cfRule type="expression" dxfId="308" priority="264">
      <formula>X$9&lt;8/24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307" priority="257">
      <formula>E$9&gt;=20/24</formula>
    </cfRule>
    <cfRule type="expression" dxfId="306" priority="258">
      <formula>AND(E$9&gt;=14/24,E$9&lt;20/24)</formula>
    </cfRule>
    <cfRule type="expression" dxfId="305" priority="259">
      <formula>AND(E$9&gt;=8/24,E$9&lt;14/24)</formula>
    </cfRule>
    <cfRule type="expression" dxfId="304" priority="260">
      <formula>E$9&lt;8/24</formula>
    </cfRule>
  </conditionalFormatting>
  <conditionalFormatting sqref="E49:AF51">
    <cfRule type="expression" dxfId="303" priority="256">
      <formula>E49&gt;$AG49</formula>
    </cfRule>
  </conditionalFormatting>
  <conditionalFormatting sqref="AG52">
    <cfRule type="expression" dxfId="302" priority="252">
      <formula>AG$9&gt;=20/24</formula>
    </cfRule>
    <cfRule type="expression" dxfId="301" priority="253">
      <formula>AND(AG$9&gt;=14/24,AG$9&lt;20/24)</formula>
    </cfRule>
    <cfRule type="expression" dxfId="300" priority="254">
      <formula>AND(AG$9&gt;=8/24,AG$9&lt;14/24)</formula>
    </cfRule>
    <cfRule type="expression" dxfId="299" priority="255">
      <formula>AG$9&lt;8/24</formula>
    </cfRule>
  </conditionalFormatting>
  <conditionalFormatting sqref="AG52">
    <cfRule type="expression" dxfId="298" priority="251">
      <formula>AG52&gt;$AG52</formula>
    </cfRule>
  </conditionalFormatting>
  <conditionalFormatting sqref="C107:AF107">
    <cfRule type="expression" dxfId="297" priority="247">
      <formula>C$9&gt;=20/24</formula>
    </cfRule>
    <cfRule type="expression" dxfId="296" priority="248">
      <formula>AND(C$9&gt;=14/24,C$9&lt;20/24)</formula>
    </cfRule>
    <cfRule type="expression" dxfId="295" priority="249">
      <formula>AND(C$9&gt;=8/24,C$9&lt;14/24)</formula>
    </cfRule>
    <cfRule type="expression" dxfId="294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293" priority="245">
      <formula>$AH40=0</formula>
    </cfRule>
  </conditionalFormatting>
  <conditionalFormatting sqref="A90">
    <cfRule type="expression" dxfId="292" priority="243">
      <formula>$AH90=0</formula>
    </cfRule>
  </conditionalFormatting>
  <conditionalFormatting sqref="A87">
    <cfRule type="expression" dxfId="291" priority="244">
      <formula>$AH87=0</formula>
    </cfRule>
  </conditionalFormatting>
  <conditionalFormatting sqref="D110:AF110">
    <cfRule type="expression" dxfId="290" priority="239">
      <formula>D$9&gt;=20/24</formula>
    </cfRule>
    <cfRule type="expression" dxfId="289" priority="240">
      <formula>AND(D$9&gt;=14/24,D$9&lt;20/24)</formula>
    </cfRule>
    <cfRule type="expression" dxfId="288" priority="241">
      <formula>AND(D$9&gt;=8/24,D$9&lt;14/24)</formula>
    </cfRule>
    <cfRule type="expression" dxfId="287" priority="242">
      <formula>D$9&lt;8/24</formula>
    </cfRule>
  </conditionalFormatting>
  <conditionalFormatting sqref="A110">
    <cfRule type="expression" dxfId="286" priority="238">
      <formula>$AH110=0</formula>
    </cfRule>
  </conditionalFormatting>
  <conditionalFormatting sqref="A21">
    <cfRule type="expression" dxfId="285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84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283" priority="230">
      <formula>Y$9&gt;=20/24</formula>
    </cfRule>
    <cfRule type="expression" dxfId="282" priority="231">
      <formula>AND(Y$9&gt;=14/24,Y$9&lt;20/24)</formula>
    </cfRule>
    <cfRule type="expression" dxfId="281" priority="232">
      <formula>AND(Y$9&gt;=8/24,Y$9&lt;14/24)</formula>
    </cfRule>
    <cfRule type="expression" dxfId="280" priority="233">
      <formula>Y$9&lt;8/24</formula>
    </cfRule>
  </conditionalFormatting>
  <conditionalFormatting sqref="Y100:AC106">
    <cfRule type="expression" dxfId="279" priority="226">
      <formula>Y$9&gt;=20/24</formula>
    </cfRule>
    <cfRule type="expression" dxfId="278" priority="227">
      <formula>AND(Y$9&gt;=14/24,Y$9&lt;20/24)</formula>
    </cfRule>
    <cfRule type="expression" dxfId="277" priority="228">
      <formula>AND(Y$9&gt;=8/24,Y$9&lt;14/24)</formula>
    </cfRule>
    <cfRule type="expression" dxfId="276" priority="229">
      <formula>Y$9&lt;8/24</formula>
    </cfRule>
  </conditionalFormatting>
  <conditionalFormatting sqref="C109 C111:C116 F17:O18 P34:AF43 P17:AF32">
    <cfRule type="expression" dxfId="275" priority="222">
      <formula>C$9&gt;=20/24</formula>
    </cfRule>
    <cfRule type="expression" dxfId="274" priority="223">
      <formula>AND(C$9&gt;=14/24,C$9&lt;20/24)</formula>
    </cfRule>
    <cfRule type="expression" dxfId="273" priority="224">
      <formula>AND(C$9&gt;=8/24,C$9&lt;14/24)</formula>
    </cfRule>
    <cfRule type="expression" dxfId="272" priority="225">
      <formula>C$9&lt;8/24</formula>
    </cfRule>
  </conditionalFormatting>
  <conditionalFormatting sqref="C47:S47">
    <cfRule type="expression" dxfId="271" priority="218">
      <formula>C$9&gt;=20/24</formula>
    </cfRule>
    <cfRule type="expression" dxfId="270" priority="219">
      <formula>AND(C$9&gt;=14/24,C$9&lt;20/24)</formula>
    </cfRule>
    <cfRule type="expression" dxfId="269" priority="220">
      <formula>AND(C$9&gt;=8/24,C$9&lt;14/24)</formula>
    </cfRule>
    <cfRule type="expression" dxfId="268" priority="221">
      <formula>C$9&lt;8/24</formula>
    </cfRule>
  </conditionalFormatting>
  <conditionalFormatting sqref="C47:S47 F17:O18 P34:AF43 P17:AF32">
    <cfRule type="expression" dxfId="267" priority="217">
      <formula>C17&gt;$AG17</formula>
    </cfRule>
  </conditionalFormatting>
  <conditionalFormatting sqref="C99:D99">
    <cfRule type="expression" dxfId="266" priority="213">
      <formula>C$9&gt;=20/24</formula>
    </cfRule>
    <cfRule type="expression" dxfId="265" priority="214">
      <formula>AND(C$9&gt;=14/24,C$9&lt;20/24)</formula>
    </cfRule>
    <cfRule type="expression" dxfId="264" priority="215">
      <formula>AND(C$9&gt;=8/24,C$9&lt;14/24)</formula>
    </cfRule>
    <cfRule type="expression" dxfId="263" priority="216">
      <formula>C$9&lt;8/24</formula>
    </cfRule>
  </conditionalFormatting>
  <conditionalFormatting sqref="C86 C96:W96 C83:AF85 D100:D106 E67:P69 E74:X76 Y75:AF76">
    <cfRule type="expression" dxfId="262" priority="209">
      <formula>C$9&gt;=20/24</formula>
    </cfRule>
    <cfRule type="expression" dxfId="261" priority="210">
      <formula>AND(C$9&gt;=14/24,C$9&lt;20/24)</formula>
    </cfRule>
    <cfRule type="expression" dxfId="260" priority="211">
      <formula>AND(C$9&gt;=8/24,C$9&lt;14/24)</formula>
    </cfRule>
    <cfRule type="expression" dxfId="259" priority="212">
      <formula>C$9&lt;8/24</formula>
    </cfRule>
  </conditionalFormatting>
  <conditionalFormatting sqref="E56:L57 E67:P69">
    <cfRule type="expression" dxfId="258" priority="208">
      <formula>E56&gt;$AG56</formula>
    </cfRule>
  </conditionalFormatting>
  <conditionalFormatting sqref="E58:L58">
    <cfRule type="expression" dxfId="257" priority="204">
      <formula>E$9&gt;=20/24</formula>
    </cfRule>
    <cfRule type="expression" dxfId="256" priority="205">
      <formula>AND(E$9&gt;=14/24,E$9&lt;20/24)</formula>
    </cfRule>
    <cfRule type="expression" dxfId="255" priority="206">
      <formula>AND(E$9&gt;=8/24,E$9&lt;14/24)</formula>
    </cfRule>
    <cfRule type="expression" dxfId="254" priority="207">
      <formula>E$9&lt;8/24</formula>
    </cfRule>
  </conditionalFormatting>
  <conditionalFormatting sqref="E58:L58">
    <cfRule type="expression" dxfId="253" priority="203">
      <formula>E58&gt;$AG58</formula>
    </cfRule>
  </conditionalFormatting>
  <conditionalFormatting sqref="B71:D71 B54:D57">
    <cfRule type="expression" dxfId="252" priority="132">
      <formula>B$9&gt;=20/24</formula>
    </cfRule>
    <cfRule type="expression" dxfId="251" priority="133">
      <formula>AND(B$9&gt;=14/24,B$9&lt;20/24)</formula>
    </cfRule>
    <cfRule type="expression" dxfId="250" priority="134">
      <formula>AND(B$9&gt;=8/24,B$9&lt;14/24)</formula>
    </cfRule>
    <cfRule type="expression" dxfId="249" priority="135">
      <formula>B$9&lt;8/24</formula>
    </cfRule>
  </conditionalFormatting>
  <conditionalFormatting sqref="C87:AF87 C89:AF89 C98:AF98 C70:AF70">
    <cfRule type="expression" dxfId="248" priority="199">
      <formula>C$9&gt;=20/24</formula>
    </cfRule>
    <cfRule type="expression" dxfId="247" priority="200">
      <formula>AND(C$9&gt;=14/24,C$9&lt;20/24)</formula>
    </cfRule>
    <cfRule type="expression" dxfId="246" priority="201">
      <formula>AND(C$9&gt;=8/24,C$9&lt;14/24)</formula>
    </cfRule>
    <cfRule type="expression" dxfId="245" priority="202">
      <formula>C$9&lt;8/24</formula>
    </cfRule>
  </conditionalFormatting>
  <conditionalFormatting sqref="C70:AF70 C65:AF66">
    <cfRule type="expression" dxfId="244" priority="198">
      <formula>C65&gt;$AG65</formula>
    </cfRule>
  </conditionalFormatting>
  <conditionalFormatting sqref="C82:AF82">
    <cfRule type="expression" dxfId="243" priority="194">
      <formula>C$9&gt;=20/24</formula>
    </cfRule>
    <cfRule type="expression" dxfId="242" priority="195">
      <formula>AND(C$9&gt;=14/24,C$9&lt;20/24)</formula>
    </cfRule>
    <cfRule type="expression" dxfId="241" priority="196">
      <formula>AND(C$9&gt;=8/24,C$9&lt;14/24)</formula>
    </cfRule>
    <cfRule type="expression" dxfId="240" priority="197">
      <formula>C$9&lt;8/24</formula>
    </cfRule>
  </conditionalFormatting>
  <conditionalFormatting sqref="C91:W95">
    <cfRule type="expression" dxfId="239" priority="190">
      <formula>C$9&gt;=20/24</formula>
    </cfRule>
    <cfRule type="expression" dxfId="238" priority="191">
      <formula>AND(C$9&gt;=14/24,C$9&lt;20/24)</formula>
    </cfRule>
    <cfRule type="expression" dxfId="237" priority="192">
      <formula>AND(C$9&gt;=8/24,C$9&lt;14/24)</formula>
    </cfRule>
    <cfRule type="expression" dxfId="236" priority="193">
      <formula>C$9&lt;8/24</formula>
    </cfRule>
  </conditionalFormatting>
  <conditionalFormatting sqref="C52:AF52">
    <cfRule type="expression" dxfId="235" priority="186">
      <formula>C$9&gt;=20/24</formula>
    </cfRule>
    <cfRule type="expression" dxfId="234" priority="187">
      <formula>AND(C$9&gt;=14/24,C$9&lt;20/24)</formula>
    </cfRule>
    <cfRule type="expression" dxfId="233" priority="188">
      <formula>AND(C$9&gt;=8/24,C$9&lt;14/24)</formula>
    </cfRule>
    <cfRule type="expression" dxfId="232" priority="189">
      <formula>C$9&lt;8/24</formula>
    </cfRule>
  </conditionalFormatting>
  <conditionalFormatting sqref="C52:AF52">
    <cfRule type="expression" dxfId="231" priority="185">
      <formula>C52&gt;$AG52</formula>
    </cfRule>
  </conditionalFormatting>
  <conditionalFormatting sqref="B49:D51">
    <cfRule type="expression" dxfId="230" priority="100">
      <formula>B$9&gt;=20/24</formula>
    </cfRule>
    <cfRule type="expression" dxfId="229" priority="101">
      <formula>AND(B$9&gt;=14/24,B$9&lt;20/24)</formula>
    </cfRule>
    <cfRule type="expression" dxfId="228" priority="102">
      <formula>AND(B$9&gt;=8/24,B$9&lt;14/24)</formula>
    </cfRule>
    <cfRule type="expression" dxfId="227" priority="103">
      <formula>B$9&lt;8/24</formula>
    </cfRule>
  </conditionalFormatting>
  <conditionalFormatting sqref="C110">
    <cfRule type="expression" dxfId="226" priority="177">
      <formula>C$9&gt;=20/24</formula>
    </cfRule>
    <cfRule type="expression" dxfId="225" priority="178">
      <formula>AND(C$9&gt;=14/24,C$9&lt;20/24)</formula>
    </cfRule>
    <cfRule type="expression" dxfId="224" priority="179">
      <formula>AND(C$9&gt;=8/24,C$9&lt;14/24)</formula>
    </cfRule>
    <cfRule type="expression" dxfId="223" priority="180">
      <formula>C$9&lt;8/24</formula>
    </cfRule>
  </conditionalFormatting>
  <conditionalFormatting sqref="E59:AF64">
    <cfRule type="expression" dxfId="222" priority="173">
      <formula>E$9&gt;=20/24</formula>
    </cfRule>
    <cfRule type="expression" dxfId="221" priority="174">
      <formula>AND(E$9&gt;=14/24,E$9&lt;20/24)</formula>
    </cfRule>
    <cfRule type="expression" dxfId="220" priority="175">
      <formula>AND(E$9&gt;=8/24,E$9&lt;14/24)</formula>
    </cfRule>
    <cfRule type="expression" dxfId="219" priority="176">
      <formula>E$9&lt;8/24</formula>
    </cfRule>
  </conditionalFormatting>
  <conditionalFormatting sqref="E59:AF64">
    <cfRule type="expression" dxfId="218" priority="172">
      <formula>E59&gt;$AG59</formula>
    </cfRule>
  </conditionalFormatting>
  <conditionalFormatting sqref="P45:AF45 F13:AF15">
    <cfRule type="expression" dxfId="217" priority="171">
      <formula>F13&gt;$AG13</formula>
    </cfRule>
  </conditionalFormatting>
  <conditionalFormatting sqref="E12:AF12">
    <cfRule type="expression" dxfId="216" priority="167">
      <formula>E$9&gt;=20/24</formula>
    </cfRule>
    <cfRule type="expression" dxfId="215" priority="168">
      <formula>AND(E$9&gt;=14/24,E$9&lt;20/24)</formula>
    </cfRule>
    <cfRule type="expression" dxfId="214" priority="169">
      <formula>AND(E$9&gt;=8/24,E$9&lt;14/24)</formula>
    </cfRule>
    <cfRule type="expression" dxfId="213" priority="170">
      <formula>E$9&lt;8/24</formula>
    </cfRule>
  </conditionalFormatting>
  <conditionalFormatting sqref="E12:AF12">
    <cfRule type="expression" dxfId="212" priority="166">
      <formula>E12&gt;$AG12</formula>
    </cfRule>
  </conditionalFormatting>
  <conditionalFormatting sqref="F13:AF15">
    <cfRule type="expression" dxfId="211" priority="162">
      <formula>F$9&gt;=20/24</formula>
    </cfRule>
    <cfRule type="expression" dxfId="210" priority="163">
      <formula>AND(F$9&gt;=14/24,F$9&lt;20/24)</formula>
    </cfRule>
    <cfRule type="expression" dxfId="209" priority="164">
      <formula>AND(F$9&gt;=8/24,F$9&lt;14/24)</formula>
    </cfRule>
    <cfRule type="expression" dxfId="208" priority="165">
      <formula>F$9&lt;8/24</formula>
    </cfRule>
  </conditionalFormatting>
  <conditionalFormatting sqref="P45:AF45">
    <cfRule type="expression" dxfId="207" priority="158">
      <formula>P$9&gt;=20/24</formula>
    </cfRule>
    <cfRule type="expression" dxfId="206" priority="159">
      <formula>AND(P$9&gt;=14/24,P$9&lt;20/24)</formula>
    </cfRule>
    <cfRule type="expression" dxfId="205" priority="160">
      <formula>AND(P$9&gt;=8/24,P$9&lt;14/24)</formula>
    </cfRule>
    <cfRule type="expression" dxfId="204" priority="161">
      <formula>P$9&lt;8/24</formula>
    </cfRule>
  </conditionalFormatting>
  <conditionalFormatting sqref="E77:AF81">
    <cfRule type="expression" dxfId="203" priority="154">
      <formula>E$9&gt;=20/24</formula>
    </cfRule>
    <cfRule type="expression" dxfId="202" priority="155">
      <formula>AND(E$9&gt;=14/24,E$9&lt;20/24)</formula>
    </cfRule>
    <cfRule type="expression" dxfId="201" priority="156">
      <formula>AND(E$9&gt;=8/24,E$9&lt;14/24)</formula>
    </cfRule>
    <cfRule type="expression" dxfId="200" priority="157">
      <formula>E$9&lt;8/24</formula>
    </cfRule>
  </conditionalFormatting>
  <conditionalFormatting sqref="AL78:AN78 AL84:AN84 AN79:AN80">
    <cfRule type="expression" dxfId="199" priority="150">
      <formula>AL$9&gt;=20/24</formula>
    </cfRule>
    <cfRule type="expression" dxfId="198" priority="151">
      <formula>AND(AL$9&gt;=14/24,AL$9&lt;20/24)</formula>
    </cfRule>
    <cfRule type="expression" dxfId="197" priority="152">
      <formula>AND(AL$9&gt;=8/24,AL$9&lt;14/24)</formula>
    </cfRule>
    <cfRule type="expression" dxfId="196" priority="153">
      <formula>AL$9&lt;8/24</formula>
    </cfRule>
  </conditionalFormatting>
  <conditionalFormatting sqref="AN81:AN82">
    <cfRule type="expression" dxfId="195" priority="146">
      <formula>AN$9&gt;=20/24</formula>
    </cfRule>
    <cfRule type="expression" dxfId="194" priority="147">
      <formula>AND(AN$9&gt;=14/24,AN$9&lt;20/24)</formula>
    </cfRule>
    <cfRule type="expression" dxfId="193" priority="148">
      <formula>AND(AN$9&gt;=8/24,AN$9&lt;14/24)</formula>
    </cfRule>
    <cfRule type="expression" dxfId="192" priority="149">
      <formula>AN$9&lt;8/24</formula>
    </cfRule>
  </conditionalFormatting>
  <conditionalFormatting sqref="AL79:AM83">
    <cfRule type="expression" dxfId="191" priority="363">
      <formula>AJ$9&gt;=20/24</formula>
    </cfRule>
    <cfRule type="expression" dxfId="190" priority="364">
      <formula>AND(AJ$9&gt;=14/24,AJ$9&lt;20/24)</formula>
    </cfRule>
    <cfRule type="expression" dxfId="189" priority="365">
      <formula>AND(AJ$9&gt;=8/24,AJ$9&lt;14/24)</formula>
    </cfRule>
    <cfRule type="expression" dxfId="188" priority="366">
      <formula>AJ$9&lt;8/24</formula>
    </cfRule>
  </conditionalFormatting>
  <conditionalFormatting sqref="A117">
    <cfRule type="expression" dxfId="187" priority="145">
      <formula>$AH117=0</formula>
    </cfRule>
  </conditionalFormatting>
  <conditionalFormatting sqref="B109 B111:B116 E13:E15 F19:O32 B12:D15 B17:E32 B34:O43 B45:O45">
    <cfRule type="expression" dxfId="186" priority="141">
      <formula>B$9&gt;=20/24</formula>
    </cfRule>
    <cfRule type="expression" dxfId="185" priority="142">
      <formula>AND(B$9&gt;=14/24,B$9&lt;20/24)</formula>
    </cfRule>
    <cfRule type="expression" dxfId="184" priority="143">
      <formula>AND(B$9&gt;=8/24,B$9&lt;14/24)</formula>
    </cfRule>
    <cfRule type="expression" dxfId="183" priority="144">
      <formula>B$9&lt;8/24</formula>
    </cfRule>
  </conditionalFormatting>
  <conditionalFormatting sqref="E13:E15 F19:O32 B12:D15 B17:E32 B34:O43 B45:O45">
    <cfRule type="expression" dxfId="182" priority="140">
      <formula>B12&gt;$AG12</formula>
    </cfRule>
  </conditionalFormatting>
  <conditionalFormatting sqref="B99">
    <cfRule type="expression" dxfId="181" priority="136">
      <formula>B$9&gt;=20/24</formula>
    </cfRule>
    <cfRule type="expression" dxfId="180" priority="137">
      <formula>AND(B$9&gt;=14/24,B$9&lt;20/24)</formula>
    </cfRule>
    <cfRule type="expression" dxfId="179" priority="138">
      <formula>AND(B$9&gt;=8/24,B$9&lt;14/24)</formula>
    </cfRule>
    <cfRule type="expression" dxfId="178" priority="139">
      <formula>B$9&lt;8/24</formula>
    </cfRule>
  </conditionalFormatting>
  <conditionalFormatting sqref="B53:D53">
    <cfRule type="expression" dxfId="177" priority="128">
      <formula>B$9&gt;=20/24</formula>
    </cfRule>
    <cfRule type="expression" dxfId="176" priority="129">
      <formula>AND(B$9&gt;=14/24,B$9&lt;20/24)</formula>
    </cfRule>
    <cfRule type="expression" dxfId="175" priority="130">
      <formula>AND(B$9&gt;=8/24,B$9&lt;14/24)</formula>
    </cfRule>
    <cfRule type="expression" dxfId="174" priority="131">
      <formula>B$9&lt;8/24</formula>
    </cfRule>
  </conditionalFormatting>
  <conditionalFormatting sqref="B53:D57">
    <cfRule type="expression" dxfId="173" priority="127">
      <formula>B53&gt;$AG53</formula>
    </cfRule>
  </conditionalFormatting>
  <conditionalFormatting sqref="B96 B86 B47 B72:D74 B100:C106 B67:D69">
    <cfRule type="expression" dxfId="172" priority="123">
      <formula>B$9&gt;=20/24</formula>
    </cfRule>
    <cfRule type="expression" dxfId="171" priority="124">
      <formula>AND(B$9&gt;=14/24,B$9&lt;20/24)</formula>
    </cfRule>
    <cfRule type="expression" dxfId="170" priority="125">
      <formula>AND(B$9&gt;=8/24,B$9&lt;14/24)</formula>
    </cfRule>
    <cfRule type="expression" dxfId="169" priority="126">
      <formula>B$9&lt;8/24</formula>
    </cfRule>
  </conditionalFormatting>
  <conditionalFormatting sqref="B47 B67:D69">
    <cfRule type="expression" dxfId="168" priority="122">
      <formula>B47&gt;$AG47</formula>
    </cfRule>
  </conditionalFormatting>
  <conditionalFormatting sqref="B97 B88:C88">
    <cfRule type="expression" dxfId="167" priority="118">
      <formula>B$9&gt;=20/24</formula>
    </cfRule>
    <cfRule type="expression" dxfId="166" priority="119">
      <formula>AND(B$9&gt;=14/24,B$9&lt;20/24)</formula>
    </cfRule>
    <cfRule type="expression" dxfId="165" priority="120">
      <formula>AND(B$9&gt;=8/24,B$9&lt;14/24)</formula>
    </cfRule>
    <cfRule type="expression" dxfId="164" priority="121">
      <formula>B$9&lt;8/24</formula>
    </cfRule>
  </conditionalFormatting>
  <conditionalFormatting sqref="B46:AF46">
    <cfRule type="expression" dxfId="163" priority="114">
      <formula>B$9&gt;=20/24</formula>
    </cfRule>
    <cfRule type="expression" dxfId="162" priority="115">
      <formula>AND(B$9&gt;=14/24,B$9&lt;20/24)</formula>
    </cfRule>
    <cfRule type="expression" dxfId="161" priority="116">
      <formula>AND(B$9&gt;=8/24,B$9&lt;14/24)</formula>
    </cfRule>
    <cfRule type="expression" dxfId="160" priority="117">
      <formula>B$9&lt;8/24</formula>
    </cfRule>
  </conditionalFormatting>
  <conditionalFormatting sqref="B46:AF46">
    <cfRule type="expression" dxfId="159" priority="113">
      <formula>B46&gt;$AG46</formula>
    </cfRule>
  </conditionalFormatting>
  <conditionalFormatting sqref="B58:D58">
    <cfRule type="expression" dxfId="158" priority="109">
      <formula>B$9&gt;=20/24</formula>
    </cfRule>
    <cfRule type="expression" dxfId="157" priority="110">
      <formula>AND(B$9&gt;=14/24,B$9&lt;20/24)</formula>
    </cfRule>
    <cfRule type="expression" dxfId="156" priority="111">
      <formula>AND(B$9&gt;=8/24,B$9&lt;14/24)</formula>
    </cfRule>
    <cfRule type="expression" dxfId="155" priority="112">
      <formula>B$9&lt;8/24</formula>
    </cfRule>
  </conditionalFormatting>
  <conditionalFormatting sqref="B58:D58">
    <cfRule type="expression" dxfId="154" priority="108">
      <formula>B58&gt;$AG58</formula>
    </cfRule>
  </conditionalFormatting>
  <conditionalFormatting sqref="B91:B95">
    <cfRule type="expression" dxfId="153" priority="104">
      <formula>B$9&gt;=20/24</formula>
    </cfRule>
    <cfRule type="expression" dxfId="152" priority="105">
      <formula>AND(B$9&gt;=14/24,B$9&lt;20/24)</formula>
    </cfRule>
    <cfRule type="expression" dxfId="151" priority="106">
      <formula>AND(B$9&gt;=8/24,B$9&lt;14/24)</formula>
    </cfRule>
    <cfRule type="expression" dxfId="150" priority="107">
      <formula>B$9&lt;8/24</formula>
    </cfRule>
  </conditionalFormatting>
  <conditionalFormatting sqref="B49:D51">
    <cfRule type="expression" dxfId="149" priority="99">
      <formula>B49&gt;$AG49</formula>
    </cfRule>
  </conditionalFormatting>
  <conditionalFormatting sqref="B107">
    <cfRule type="expression" dxfId="148" priority="95">
      <formula>B$9&gt;=20/24</formula>
    </cfRule>
    <cfRule type="expression" dxfId="147" priority="96">
      <formula>AND(B$9&gt;=14/24,B$9&lt;20/24)</formula>
    </cfRule>
    <cfRule type="expression" dxfId="146" priority="97">
      <formula>AND(B$9&gt;=8/24,B$9&lt;14/24)</formula>
    </cfRule>
    <cfRule type="expression" dxfId="145" priority="98">
      <formula>B$9&lt;8/24</formula>
    </cfRule>
  </conditionalFormatting>
  <conditionalFormatting sqref="B110">
    <cfRule type="expression" dxfId="144" priority="91">
      <formula>B$9&gt;=20/24</formula>
    </cfRule>
    <cfRule type="expression" dxfId="143" priority="92">
      <formula>AND(B$9&gt;=14/24,B$9&lt;20/24)</formula>
    </cfRule>
    <cfRule type="expression" dxfId="142" priority="93">
      <formula>AND(B$9&gt;=8/24,B$9&lt;14/24)</formula>
    </cfRule>
    <cfRule type="expression" dxfId="141" priority="94">
      <formula>B$9&lt;8/24</formula>
    </cfRule>
  </conditionalFormatting>
  <conditionalFormatting sqref="B83:B85 B75:D76">
    <cfRule type="expression" dxfId="140" priority="87">
      <formula>B$9&gt;=20/24</formula>
    </cfRule>
    <cfRule type="expression" dxfId="139" priority="88">
      <formula>AND(B$9&gt;=14/24,B$9&lt;20/24)</formula>
    </cfRule>
    <cfRule type="expression" dxfId="138" priority="89">
      <formula>AND(B$9&gt;=8/24,B$9&lt;14/24)</formula>
    </cfRule>
    <cfRule type="expression" dxfId="137" priority="90">
      <formula>B$9&lt;8/24</formula>
    </cfRule>
  </conditionalFormatting>
  <conditionalFormatting sqref="B89 B98 B70 B87">
    <cfRule type="expression" dxfId="136" priority="83">
      <formula>B$9&gt;=20/24</formula>
    </cfRule>
    <cfRule type="expression" dxfId="135" priority="84">
      <formula>AND(B$9&gt;=14/24,B$9&lt;20/24)</formula>
    </cfRule>
    <cfRule type="expression" dxfId="134" priority="85">
      <formula>AND(B$9&gt;=8/24,B$9&lt;14/24)</formula>
    </cfRule>
    <cfRule type="expression" dxfId="133" priority="86">
      <formula>B$9&lt;8/24</formula>
    </cfRule>
  </conditionalFormatting>
  <conditionalFormatting sqref="B65:B66 B70 B48:AF48">
    <cfRule type="expression" dxfId="132" priority="82">
      <formula>B48&gt;$AG48</formula>
    </cfRule>
  </conditionalFormatting>
  <conditionalFormatting sqref="B82">
    <cfRule type="expression" dxfId="131" priority="78">
      <formula>B$9&gt;=20/24</formula>
    </cfRule>
    <cfRule type="expression" dxfId="130" priority="79">
      <formula>AND(B$9&gt;=14/24,B$9&lt;20/24)</formula>
    </cfRule>
    <cfRule type="expression" dxfId="129" priority="80">
      <formula>AND(B$9&gt;=8/24,B$9&lt;14/24)</formula>
    </cfRule>
    <cfRule type="expression" dxfId="128" priority="81">
      <formula>B$9&lt;8/24</formula>
    </cfRule>
  </conditionalFormatting>
  <conditionalFormatting sqref="B52">
    <cfRule type="expression" dxfId="127" priority="74">
      <formula>B$9&gt;=20/24</formula>
    </cfRule>
    <cfRule type="expression" dxfId="126" priority="75">
      <formula>AND(B$9&gt;=14/24,B$9&lt;20/24)</formula>
    </cfRule>
    <cfRule type="expression" dxfId="125" priority="76">
      <formula>AND(B$9&gt;=8/24,B$9&lt;14/24)</formula>
    </cfRule>
    <cfRule type="expression" dxfId="124" priority="77">
      <formula>B$9&lt;8/24</formula>
    </cfRule>
  </conditionalFormatting>
  <conditionalFormatting sqref="B52">
    <cfRule type="expression" dxfId="123" priority="73">
      <formula>B52&gt;$AG52</formula>
    </cfRule>
  </conditionalFormatting>
  <conditionalFormatting sqref="B59:D64">
    <cfRule type="expression" dxfId="122" priority="65">
      <formula>B$9&gt;=20/24</formula>
    </cfRule>
    <cfRule type="expression" dxfId="121" priority="66">
      <formula>AND(B$9&gt;=14/24,B$9&lt;20/24)</formula>
    </cfRule>
    <cfRule type="expression" dxfId="120" priority="67">
      <formula>AND(B$9&gt;=8/24,B$9&lt;14/24)</formula>
    </cfRule>
    <cfRule type="expression" dxfId="119" priority="68">
      <formula>B$9&lt;8/24</formula>
    </cfRule>
  </conditionalFormatting>
  <conditionalFormatting sqref="B59:D64">
    <cfRule type="expression" dxfId="118" priority="64">
      <formula>B59&gt;$AG59</formula>
    </cfRule>
  </conditionalFormatting>
  <conditionalFormatting sqref="B77:D81">
    <cfRule type="expression" dxfId="117" priority="60">
      <formula>B$9&gt;=20/24</formula>
    </cfRule>
    <cfRule type="expression" dxfId="116" priority="61">
      <formula>AND(B$9&gt;=14/24,B$9&lt;20/24)</formula>
    </cfRule>
    <cfRule type="expression" dxfId="115" priority="62">
      <formula>AND(B$9&gt;=8/24,B$9&lt;14/24)</formula>
    </cfRule>
    <cfRule type="expression" dxfId="114" priority="63">
      <formula>B$9&lt;8/24</formula>
    </cfRule>
  </conditionalFormatting>
  <conditionalFormatting sqref="A11">
    <cfRule type="expression" dxfId="113" priority="59">
      <formula>$AH11=0</formula>
    </cfRule>
  </conditionalFormatting>
  <conditionalFormatting sqref="E11:AF11">
    <cfRule type="expression" dxfId="112" priority="55">
      <formula>E$9&gt;=20/24</formula>
    </cfRule>
    <cfRule type="expression" dxfId="111" priority="56">
      <formula>AND(E$9&gt;=14/24,E$9&lt;20/24)</formula>
    </cfRule>
    <cfRule type="expression" dxfId="110" priority="57">
      <formula>AND(E$9&gt;=8/24,E$9&lt;14/24)</formula>
    </cfRule>
    <cfRule type="expression" dxfId="109" priority="58">
      <formula>E$9&lt;8/24</formula>
    </cfRule>
  </conditionalFormatting>
  <conditionalFormatting sqref="E11:AF11">
    <cfRule type="expression" dxfId="108" priority="54">
      <formula>E11&gt;$AG11</formula>
    </cfRule>
  </conditionalFormatting>
  <conditionalFormatting sqref="B11:D11">
    <cfRule type="expression" dxfId="107" priority="50">
      <formula>B$9&gt;=20/24</formula>
    </cfRule>
    <cfRule type="expression" dxfId="106" priority="51">
      <formula>AND(B$9&gt;=14/24,B$9&lt;20/24)</formula>
    </cfRule>
    <cfRule type="expression" dxfId="105" priority="52">
      <formula>AND(B$9&gt;=8/24,B$9&lt;14/24)</formula>
    </cfRule>
    <cfRule type="expression" dxfId="104" priority="53">
      <formula>B$9&lt;8/24</formula>
    </cfRule>
  </conditionalFormatting>
  <conditionalFormatting sqref="B11:D11">
    <cfRule type="expression" dxfId="103" priority="49">
      <formula>B11&gt;$AG11</formula>
    </cfRule>
  </conditionalFormatting>
  <conditionalFormatting sqref="A16">
    <cfRule type="expression" dxfId="102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F16:AF16">
    <cfRule type="expression" dxfId="101" priority="43">
      <formula>F$9&gt;=20/24</formula>
    </cfRule>
    <cfRule type="expression" dxfId="100" priority="44">
      <formula>AND(F$9&gt;=14/24,F$9&lt;20/24)</formula>
    </cfRule>
    <cfRule type="expression" dxfId="99" priority="45">
      <formula>AND(F$9&gt;=8/24,F$9&lt;14/24)</formula>
    </cfRule>
    <cfRule type="expression" dxfId="98" priority="46">
      <formula>F$9&lt;8/24</formula>
    </cfRule>
  </conditionalFormatting>
  <conditionalFormatting sqref="F16:AF16">
    <cfRule type="expression" dxfId="97" priority="42">
      <formula>F16&gt;$AG16</formula>
    </cfRule>
  </conditionalFormatting>
  <conditionalFormatting sqref="B16:E16">
    <cfRule type="expression" dxfId="96" priority="38">
      <formula>B$9&gt;=20/24</formula>
    </cfRule>
    <cfRule type="expression" dxfId="95" priority="39">
      <formula>AND(B$9&gt;=14/24,B$9&lt;20/24)</formula>
    </cfRule>
    <cfRule type="expression" dxfId="94" priority="40">
      <formula>AND(B$9&gt;=8/24,B$9&lt;14/24)</formula>
    </cfRule>
    <cfRule type="expression" dxfId="93" priority="41">
      <formula>B$9&lt;8/24</formula>
    </cfRule>
  </conditionalFormatting>
  <conditionalFormatting sqref="B16:E16">
    <cfRule type="expression" dxfId="92" priority="37">
      <formula>B16&gt;$AG16</formula>
    </cfRule>
  </conditionalFormatting>
  <conditionalFormatting sqref="A33">
    <cfRule type="expression" dxfId="91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P33:AF33">
    <cfRule type="expression" dxfId="90" priority="31">
      <formula>P$9&gt;=20/24</formula>
    </cfRule>
    <cfRule type="expression" dxfId="89" priority="32">
      <formula>AND(P$9&gt;=14/24,P$9&lt;20/24)</formula>
    </cfRule>
    <cfRule type="expression" dxfId="88" priority="33">
      <formula>AND(P$9&gt;=8/24,P$9&lt;14/24)</formula>
    </cfRule>
    <cfRule type="expression" dxfId="87" priority="34">
      <formula>P$9&lt;8/24</formula>
    </cfRule>
  </conditionalFormatting>
  <conditionalFormatting sqref="P33:AF33">
    <cfRule type="expression" dxfId="86" priority="30">
      <formula>P33&gt;$AG33</formula>
    </cfRule>
  </conditionalFormatting>
  <conditionalFormatting sqref="B33:O33">
    <cfRule type="expression" dxfId="85" priority="26">
      <formula>B$9&gt;=20/24</formula>
    </cfRule>
    <cfRule type="expression" dxfId="84" priority="27">
      <formula>AND(B$9&gt;=14/24,B$9&lt;20/24)</formula>
    </cfRule>
    <cfRule type="expression" dxfId="83" priority="28">
      <formula>AND(B$9&gt;=8/24,B$9&lt;14/24)</formula>
    </cfRule>
    <cfRule type="expression" dxfId="82" priority="29">
      <formula>B$9&lt;8/24</formula>
    </cfRule>
  </conditionalFormatting>
  <conditionalFormatting sqref="B33:O33">
    <cfRule type="expression" dxfId="81" priority="25">
      <formula>B33&gt;$AG33</formula>
    </cfRule>
  </conditionalFormatting>
  <conditionalFormatting sqref="A44">
    <cfRule type="expression" dxfId="80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P44:AF44">
    <cfRule type="expression" dxfId="79" priority="22">
      <formula>P44&gt;$AG44</formula>
    </cfRule>
  </conditionalFormatting>
  <conditionalFormatting sqref="P44:AF44">
    <cfRule type="expression" dxfId="78" priority="18">
      <formula>P$9&gt;=20/24</formula>
    </cfRule>
    <cfRule type="expression" dxfId="77" priority="19">
      <formula>AND(P$9&gt;=14/24,P$9&lt;20/24)</formula>
    </cfRule>
    <cfRule type="expression" dxfId="76" priority="20">
      <formula>AND(P$9&gt;=8/24,P$9&lt;14/24)</formula>
    </cfRule>
    <cfRule type="expression" dxfId="75" priority="21">
      <formula>P$9&lt;8/24</formula>
    </cfRule>
  </conditionalFormatting>
  <conditionalFormatting sqref="B44:O44">
    <cfRule type="expression" dxfId="74" priority="14">
      <formula>B$9&gt;=20/24</formula>
    </cfRule>
    <cfRule type="expression" dxfId="73" priority="15">
      <formula>AND(B$9&gt;=14/24,B$9&lt;20/24)</formula>
    </cfRule>
    <cfRule type="expression" dxfId="72" priority="16">
      <formula>AND(B$9&gt;=8/24,B$9&lt;14/24)</formula>
    </cfRule>
    <cfRule type="expression" dxfId="71" priority="17">
      <formula>B$9&lt;8/24</formula>
    </cfRule>
  </conditionalFormatting>
  <conditionalFormatting sqref="B44:O44">
    <cfRule type="expression" dxfId="70" priority="13">
      <formula>B44&gt;$AG44</formula>
    </cfRule>
  </conditionalFormatting>
  <conditionalFormatting sqref="B117">
    <cfRule type="expression" dxfId="69" priority="1">
      <formula>B$9&gt;=20/24</formula>
    </cfRule>
    <cfRule type="expression" dxfId="68" priority="2">
      <formula>AND(B$9&gt;=14/24,B$9&lt;20/24)</formula>
    </cfRule>
    <cfRule type="expression" dxfId="67" priority="3">
      <formula>AND(B$9&gt;=8/24,B$9&lt;14/24)</formula>
    </cfRule>
    <cfRule type="expression" dxfId="66" priority="4">
      <formula>B$9&lt;8/24</formula>
    </cfRule>
  </conditionalFormatting>
  <conditionalFormatting sqref="D117:AF117">
    <cfRule type="expression" dxfId="65" priority="9">
      <formula>D$9&gt;=20/24</formula>
    </cfRule>
    <cfRule type="expression" dxfId="64" priority="10">
      <formula>AND(D$9&gt;=14/24,D$9&lt;20/24)</formula>
    </cfRule>
    <cfRule type="expression" dxfId="63" priority="11">
      <formula>AND(D$9&gt;=8/24,D$9&lt;14/24)</formula>
    </cfRule>
    <cfRule type="expression" dxfId="62" priority="12">
      <formula>D$9&lt;8/24</formula>
    </cfRule>
  </conditionalFormatting>
  <conditionalFormatting sqref="C117">
    <cfRule type="expression" dxfId="61" priority="5">
      <formula>C$9&gt;=20/24</formula>
    </cfRule>
    <cfRule type="expression" dxfId="60" priority="6">
      <formula>AND(C$9&gt;=14/24,C$9&lt;20/24)</formula>
    </cfRule>
    <cfRule type="expression" dxfId="59" priority="7">
      <formula>AND(C$9&gt;=8/24,C$9&lt;14/24)</formula>
    </cfRule>
    <cfRule type="expression" dxfId="58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05CB2B56-4325-46BB-B97B-F7002ED2B11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62778063-7903-495C-AE8C-EC04542CFFD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A44DB630-C04C-4498-8345-91E8742B683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DF631858-5E94-459A-816D-F1F5A5D724E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F3E1CF8F-C613-4443-862C-35CC4C37FDA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6528B1CB-F8AB-4FDD-8D24-4EF36AAFF06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899FA479-4143-48A1-9A6C-1BC7E4D7787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EE2453E1-BCD6-48AB-87D7-A93ED018147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sample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2023-05-27T09:31:03Z</dcterms:modified>
</cp:coreProperties>
</file>